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764" activeTab="4"/>
  </bookViews>
  <sheets>
    <sheet name="2016-2018 - Méth. directe" sheetId="7" r:id="rId1"/>
    <sheet name="2002-2023 - Méth. extrapolation" sheetId="3" r:id="rId2"/>
    <sheet name="2014-2020 - Histo naiss" sheetId="5" r:id="rId3"/>
    <sheet name="Test du chi²" sheetId="2" r:id="rId4"/>
    <sheet name="Comparaison des méthodes" sheetId="8" r:id="rId5"/>
  </sheets>
  <externalReferences>
    <externalReference r:id="rId6"/>
    <externalReference r:id="rId7"/>
  </externalReferences>
  <definedNames>
    <definedName name="_xlnm._FilterDatabase" localSheetId="1" hidden="1">'2002-2023 - Méth. extrapolation'!$A$4:$AC$4</definedName>
    <definedName name="Ambahatrazo">[1]!Tableau138[Ambahatrazo]</definedName>
    <definedName name="Ambahatrazo_CSB">[1]!Tableau185[Ambahatrazo_CSB]</definedName>
    <definedName name="Ambahive">[1]!Tableau139[Ambahive]</definedName>
    <definedName name="Ambahive_CSB">[1]!Tableau186[Ambahive_CSB]</definedName>
    <definedName name="Ambalaroka">[1]!Tableau140[Ambalaroka]</definedName>
    <definedName name="Ambalaroka_CSB">[1]!Tableau187[Ambalaroka_CSB]</definedName>
    <definedName name="Ambalavero">[1]!Tableau141[Ambalavero]</definedName>
    <definedName name="Ambalavero_CSB">[1]!Tableau188[Ambalavero_CSB]</definedName>
    <definedName name="Ambandrika">[1]!Tableau142[Ambandrika]</definedName>
    <definedName name="Ambandrika_CSB">[1]!Tableau189[Ambandrika_CSB]</definedName>
    <definedName name="Ambila">[1]!Tableau143[Ambila]</definedName>
    <definedName name="Ambila_CSB">[1]!Tableau190[Ambila_CSB]</definedName>
    <definedName name="Amboafandra">[1]!Tableau6[Amboafandra]</definedName>
    <definedName name="Amboafandra_CSB">[1]!Tableau10[Amboafandra_CSB]</definedName>
    <definedName name="Amboanjo">[1]!Tableau144[Amboanjo]</definedName>
    <definedName name="Amboanjo_CSB">[1]!Tableau191[Amboanjo_CSB]</definedName>
    <definedName name="Ambodimanga">[1]!Tableau91[Ambodimanga]</definedName>
    <definedName name="Ambodimanga_CSB">[1]!Tableau115[Ambodimanga_CSB]</definedName>
    <definedName name="Ambodinato">[1]!Tableau145[Ambodinato]</definedName>
    <definedName name="Ambodinato_CSB">[1]!Tableau192[Ambodinato_CSB]</definedName>
    <definedName name="Ambodionara">[1]!Tableau146[Ambodionara]</definedName>
    <definedName name="Ambodionara_CSB">[1]!Tableau193[Ambodionara_CSB]</definedName>
    <definedName name="Ambodirano">[2]!Tableau3[Ambodirano]</definedName>
    <definedName name="Ambohimana">[2]!Tableau5[Ambohimana]</definedName>
    <definedName name="Ambohitsara_II">[1]!Tableau92[Ambohitsara_II]</definedName>
    <definedName name="Ambohitsara_II_CSB">[1]!Tableau116[Ambohitsara_II_CSB]</definedName>
    <definedName name="Amborobe">[1]!Tableau7[Amborobe]</definedName>
    <definedName name="Amborobe_CSB">[1]!Tableau11[Amborobe_CSB]</definedName>
    <definedName name="Amborondra">[1]!Tableau147[Amborondra]</definedName>
    <definedName name="Amborondra_CSB">[1]!Tableau194[Amborondra_CSB]</definedName>
    <definedName name="Ambotaka">[1]!Tableau148[Ambotaka]</definedName>
    <definedName name="Ambotaka_CSB">[1]!Tableau195[Ambotaka_CSB]</definedName>
    <definedName name="Ampasimboraka">[1]!Tableau149[Ampasimboraka]</definedName>
    <definedName name="Ampasimboraka_CSB">[1]!Tableau196[Ampasimboraka_CSB]</definedName>
    <definedName name="Ampasipotsy">[1]!Tableau150[Ampasipotsy]</definedName>
    <definedName name="Ampasipotsy_CSB">[1]!Tableau197[Ampasipotsy_CSB]</definedName>
    <definedName name="Anadravy">[2]!Tableau9[Anadravy]</definedName>
    <definedName name="Analavory">[1]!Tableau151[Analavory]</definedName>
    <definedName name="Analavory_CSB">[1]!Tableau198[Analavory_CSB]</definedName>
    <definedName name="Andakana">[2]!Tableau10[Andakana]</definedName>
    <definedName name="Andemaka">[1]!Tableau93[Andemaka]</definedName>
    <definedName name="Andemaka_CSB">[1]!Tableau117[Andemaka_CSB]</definedName>
    <definedName name="Ankarimbary">[1]!Tableau94[Ankarimbary]</definedName>
    <definedName name="Ankarimbary_CSB">[1]!Tableau118[Ankarimbary_CSB]</definedName>
    <definedName name="Anoloka">[1]!Tableau95[Anoloka]</definedName>
    <definedName name="Anoloka_CSB">[1]!Tableau119[Anoloka_CSB]</definedName>
    <definedName name="Anorombato">[1]!Tableau152[Anorombato]</definedName>
    <definedName name="Anorombato_CSB">[1]!Tableau199[Anorombato_CSB]</definedName>
    <definedName name="Anosiala">[1]!Tableau153[Anosiala]</definedName>
    <definedName name="Anosiala_CSB">[1]!Tableau200[Anosiala_CSB]</definedName>
    <definedName name="Antananabo">[1]!Tableau96[Antananabo]</definedName>
    <definedName name="Antananabo_CSB">[1]!Tableau120[Antananabo_CSB]</definedName>
    <definedName name="Anteza">[1]!Tableau154[Anteza]</definedName>
    <definedName name="Anteza_CSB">[1]!Tableau201[Anteza_CSB]</definedName>
    <definedName name="Antokonala">[2]!Tableau11[Antokonala]</definedName>
    <definedName name="Avoavo">[1]!Tableau2[Avoavo]</definedName>
    <definedName name="Avoavo_CSB">[1]!Tableau9[Avoavo_CSB]</definedName>
    <definedName name="Bekatra">[1]!Tableau155[Bekatra]</definedName>
    <definedName name="Bekatra_CSB">[1]!Tableau202[Bekatra_CSB]</definedName>
    <definedName name="Betampo">[1]!Tableau156[Betampo]</definedName>
    <definedName name="Betampo_CSB">[1]!Tableau203[Betampo_CSB]</definedName>
    <definedName name="Commu">#REF!</definedName>
    <definedName name="Commu2">OFFSET(Commu,1,,LEN(col)-1)</definedName>
    <definedName name="CSB_MAN">[1]!Tab_CSB_MAN[MANAKARA]</definedName>
    <definedName name="CSB_VOH">[1]!Tab_CSB_VOH[VOHIPENO]</definedName>
    <definedName name="Fenomby">[1]!Tableau157[Fenomby]</definedName>
    <definedName name="Fenomby_CSB">[1]!Tableau204[Fenomby_CSB]</definedName>
    <definedName name="Iamota">[2]!Tableau12[Iamota]</definedName>
    <definedName name="Ifaho">[1]!Tableau158[Ifaho]</definedName>
    <definedName name="Ifaho_CSB">[1]!Tableau205[Ifaho_CSB]</definedName>
    <definedName name="Ifatsy">[1]!Tableau97[Ifatsy]</definedName>
    <definedName name="Ifatsy_CSB">[1]!Tableau121[Ifatsy_CSB]</definedName>
    <definedName name="Ilakatra">[1]!Tableau98[Ilakatra]</definedName>
    <definedName name="Ilakatra_CSB">[1]!Tableau122[Ilakatra_CSB]</definedName>
    <definedName name="Ivatana">[1]!Tableau159[Ivatana]</definedName>
    <definedName name="Ivatana_CSB">[1]!Tableau206[Ivatana_CSB]</definedName>
    <definedName name="Ivato">[1]!Tableau99[Ivato]</definedName>
    <definedName name="Ivato_CSB">[1]!Tableau123[Ivato_CSB]</definedName>
    <definedName name="Karianga">[2]!Tableau14[Karianga]</definedName>
    <definedName name="Kianjanomby">[1]!Tableau160[Kianjanomby]</definedName>
    <definedName name="Kianjanomby_CSB">[1]!Tableau207[Kianjanomby_CSB]</definedName>
    <definedName name="Lanivo">[1]!Tableau100[Lanivo]</definedName>
    <definedName name="Lanivo_CSB">[1]!Tableau124[Lanivo_CSB]</definedName>
    <definedName name="Loharano">[1]!Tableau161[Loharano]</definedName>
    <definedName name="Loharano_CSB">[1]!Tableau208[Loharano_CSB]</definedName>
    <definedName name="Lokomby">[1]!Tableau162[Lokomby]</definedName>
    <definedName name="Lokomby_CSB">[1]!Tableau209[Lokomby_CSB]</definedName>
    <definedName name="Mahabako">[1]!Tableau163[Mahabako]</definedName>
    <definedName name="Mahabako_CSB">[1]!Tableau210[Mahabako_CSB]</definedName>
    <definedName name="Mahabo">[1]!Tableau101[Mahabo]</definedName>
    <definedName name="Mahabo_CSB">[1]!Tableau125[Mahabo_CSB]</definedName>
    <definedName name="Mahamaibe">[1]!Tableau164[Mahamaibe]</definedName>
    <definedName name="Mahamaibe_CSB">[1]!Tableau211[Mahamaibe_CSB]</definedName>
    <definedName name="Mahasoabe">[1]!Tableau102[Mahasoabe]</definedName>
    <definedName name="Mahasoabe_CSB">[1]!Tableau126[Mahasoabe_CSB]</definedName>
    <definedName name="Mahatsinjo">[2]!Tableau15[Mahatsinjo]</definedName>
    <definedName name="Mahavelo">[2]!Tableau16[Mahavelo]</definedName>
    <definedName name="Mahazoarivo">[1]!Tableau103[Mahazoarivo]</definedName>
    <definedName name="Mahazoarivo_CSB">[1]!Tableau127[Mahazoarivo_CSB]</definedName>
    <definedName name="MANAKARA">[1]!Tab_CSB_MAN[MANAKARA]</definedName>
    <definedName name="Manambidala">[2]!Tableau18[Manambidala]</definedName>
    <definedName name="Manato">[2]!Tableau19[Manato]</definedName>
    <definedName name="Manatotsokora">[1]!Tableau104[Manatotsokora]</definedName>
    <definedName name="Manatotsokora_CSB">[1]!Tableau128[Manatotsokora_CSB]</definedName>
    <definedName name="Mangatsihotra">[1]!Tableau165[Mangatsihotra]</definedName>
    <definedName name="Mangatsihotra_CSB">[1]!Tableau212[Mangatsihotra_CSB]</definedName>
    <definedName name="Manjarivo">[1]!Tableau166[Manjarivo]</definedName>
    <definedName name="Manjarivo_CSB">[1]!Tableau213[Manjarivo_CSB]</definedName>
    <definedName name="Marofarihy">[1]!Tableau167[Marofarihy]</definedName>
    <definedName name="Marofarihy_CSB">[1]!Tableau214[Marofarihy_CSB]</definedName>
    <definedName name="Maroteza">[2]!Tableau20[Maroteza]</definedName>
    <definedName name="Mavorano">[1]!Tableau168[Mavorano]</definedName>
    <definedName name="Mavorano_CSB">[1]!Tableau215[Mavorano_CSB]</definedName>
    <definedName name="Mitanty">[1]!Tableau169[Mitanty]</definedName>
    <definedName name="Mitanty_CSB">[1]!Tableau216[Mitanty_CSB]</definedName>
    <definedName name="Mizilo">[1]!Tableau170[Mizilo]</definedName>
    <definedName name="Mizilo_CSB">[1]!Tableau217[Mizilo_CSB]</definedName>
    <definedName name="Nato">[1]!Tableau105[Nato]</definedName>
    <definedName name="Nato_CSB">[1]!Tableau129[Nato_CSB]</definedName>
    <definedName name="Nihaonana">[1]!Tableau171[Nihaonana]</definedName>
    <definedName name="Nihaonana_CSB">[1]!Tableau218[Nihaonana_CSB]</definedName>
    <definedName name="Onilahy">[1]!Tableau172[Onilahy]</definedName>
    <definedName name="Onilahy_CSB">[1]!Tableau219[Onilahy_CSB]</definedName>
    <definedName name="Onjatsy">[1]!Tableau106[Onjatsy]</definedName>
    <definedName name="Onjatsy_CSB">[1]!Tableau130[Onjatsy_CSB]</definedName>
    <definedName name="Sahalava">[1]!Tableau107[Sahalava]</definedName>
    <definedName name="Sahalava_CSB">[1]!Tableau131[Sahalava_CSB]</definedName>
    <definedName name="Sahanambohitra">[1]!Tableau173[Sahanambohitra]</definedName>
    <definedName name="Sahanambohitra_CSB">[1]!Tableau220[Sahanambohitra_CSB]</definedName>
    <definedName name="Saharefo">[1]!Tableau174[Saharefo]</definedName>
    <definedName name="Saharefo_CSB">[1]!Tableau221[Saharefo_CSB]</definedName>
    <definedName name="Sahasinaka">[1]!Tableau175[Sahasinaka]</definedName>
    <definedName name="Sahasinaka_CSB">[1]!Tableau222[Sahasinaka_CSB]</definedName>
    <definedName name="Sakoana">[1]!Tableau176[Sakoana]</definedName>
    <definedName name="Sakoana_CSB">[1]!Tableau223[Sakoana_CSB]</definedName>
    <definedName name="Savana">[1]!Tableau108[Savana]</definedName>
    <definedName name="Savana_CSB">[1]!Tableau132[Savana_CSB]</definedName>
    <definedName name="Tamboholava">[1]!Tableau109[Tamboholava]</definedName>
    <definedName name="Tamboholava_CSB">[1]!Tableau133[Tamboholava_CSB]</definedName>
    <definedName name="Tataho">[1]!Tableau177[Tataho]</definedName>
    <definedName name="Tataho_CSB">[1]!Tableau224[Tataho_CSB]</definedName>
    <definedName name="Vatolambo">[1]!Tableau178[Vatolambo]</definedName>
    <definedName name="Vatolambo_CSB">[1]!Tableau225[Vatolambo_CSB]</definedName>
    <definedName name="Vatolapana">[1]!Tableau110[Vatolapana]</definedName>
    <definedName name="Vatolapana_CSB">[1]!Tableau134[Vatolapana_CSB]</definedName>
    <definedName name="Vinanitelo">[1]!Tableau179[Vinanitelo]</definedName>
    <definedName name="Vinanitelo_CSB">[1]!Tableau226[Vinanitelo_CSB]</definedName>
    <definedName name="Vohiboreka">[2]!Tableau21[Vohiboreka]</definedName>
    <definedName name="Vohilany">[1]!Tableau111[Vohilany]</definedName>
    <definedName name="Vohilany_CSB">[1]!Tableau135[Vohilany_CSB]</definedName>
    <definedName name="Vohilava_MAN">[1]!Tableau180[Vohilava_MAN]</definedName>
    <definedName name="Vohilava_MAN_CSB">[1]!Tableau227[Vohilava_MAN_CSB]</definedName>
    <definedName name="Vohimanitra">[1]!Tableau181[Vohimanitra]</definedName>
    <definedName name="Vohimanitra_CSB">[1]!Tableau228[Vohimanitra_CSB]</definedName>
    <definedName name="Vohimary">[2]!Tableau22[Vohimary]</definedName>
    <definedName name="Vohimasina_N">[1]!Tableau182[Vohimasina_N]</definedName>
    <definedName name="Vohimasina_N_CSB">[1]!Tableau229[Vohimasina_N_CSB]</definedName>
    <definedName name="Vohimasina_S">[1]!Tableau183[Vohimasina_S]</definedName>
    <definedName name="Vohimasina_S_CSB">[1]!Tableau230[Vohimasina_S_CSB]</definedName>
    <definedName name="Vohimasy_MAN">[1]!Tableau184[Vohimasy_MAN]</definedName>
    <definedName name="Vohimasy_MAN_CSB">[1]!Tableau231[Vohimasy_MAN_CSB]</definedName>
    <definedName name="Vohindava_CSB">[1]!Tableau136[Vohindava_CSB]</definedName>
    <definedName name="VOHIPENO">[1]!Tab_CSB_VOH[VOHIPENO]</definedName>
    <definedName name="Vohitrindry">[1]!Tableau114[Vohitrindry]</definedName>
    <definedName name="Vohitrindry_CSB">[1]!Tableau137[Vohitrindry_CSB]</definedName>
    <definedName name="Vondrozo">[2]!Tableau23[Vondrozo]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9" i="5" l="1"/>
  <c r="Z6" i="5"/>
  <c r="DZ29" i="8" l="1"/>
  <c r="DZ28" i="8"/>
  <c r="DZ27" i="8"/>
  <c r="DZ26" i="8"/>
  <c r="DZ25" i="8"/>
  <c r="DZ24" i="8"/>
  <c r="DV25" i="8"/>
  <c r="DV24" i="8"/>
  <c r="DZ12" i="8"/>
  <c r="DZ11" i="8"/>
  <c r="DZ10" i="8"/>
  <c r="DX29" i="8"/>
  <c r="DX28" i="8"/>
  <c r="DX20" i="8"/>
  <c r="DX12" i="8"/>
  <c r="DX19" i="8"/>
  <c r="DV12" i="8" l="1"/>
  <c r="DV29" i="8" s="1"/>
  <c r="DV11" i="8"/>
  <c r="DV27" i="8" s="1"/>
  <c r="DV10" i="8"/>
  <c r="DV26" i="8" l="1"/>
  <c r="DV28" i="8"/>
  <c r="Q25" i="5"/>
  <c r="F9" i="2" l="1"/>
  <c r="J10" i="2"/>
  <c r="F5" i="2"/>
  <c r="I5" i="2"/>
  <c r="J5" i="2" s="1"/>
  <c r="L5" i="2"/>
  <c r="O5" i="2"/>
  <c r="P5" i="2" s="1"/>
  <c r="M5" i="2" s="1"/>
  <c r="F6" i="2"/>
  <c r="F12" i="2" s="1"/>
  <c r="I6" i="2"/>
  <c r="L6" i="2"/>
  <c r="O6" i="2"/>
  <c r="P6" i="2" s="1"/>
  <c r="I9" i="2"/>
  <c r="J9" i="2"/>
  <c r="O9" i="2"/>
  <c r="P9" i="2"/>
  <c r="I10" i="2"/>
  <c r="O10" i="2"/>
  <c r="P10" i="2"/>
  <c r="H12" i="2"/>
  <c r="L9" i="2" l="1"/>
  <c r="M9" i="2" s="1"/>
  <c r="M6" i="2"/>
  <c r="L12" i="2"/>
  <c r="J6" i="2"/>
  <c r="H6" i="2" s="1"/>
  <c r="G9" i="2"/>
  <c r="H9" i="2"/>
  <c r="G5" i="2"/>
  <c r="N5" i="2"/>
  <c r="H5" i="2"/>
  <c r="N12" i="2"/>
  <c r="N6" i="2"/>
  <c r="N9" i="2" l="1"/>
  <c r="G6" i="2"/>
  <c r="L5" i="7" l="1"/>
  <c r="M5" i="7" s="1"/>
  <c r="AC35" i="3" l="1"/>
  <c r="AA35" i="3"/>
  <c r="X35" i="3"/>
  <c r="W35" i="3"/>
  <c r="U35" i="3"/>
  <c r="V35" i="3" s="1"/>
  <c r="T35" i="3" s="1"/>
  <c r="R35" i="3"/>
  <c r="O35" i="3"/>
  <c r="L35" i="3"/>
  <c r="AB35" i="3" l="1"/>
  <c r="Z35" i="3" s="1"/>
  <c r="S35" i="3"/>
  <c r="P35" i="3"/>
  <c r="N35" i="3" s="1"/>
  <c r="AC11" i="3"/>
  <c r="AA11" i="3"/>
  <c r="X11" i="3"/>
  <c r="W11" i="3"/>
  <c r="U11" i="3"/>
  <c r="V11" i="3" s="1"/>
  <c r="T11" i="3" s="1"/>
  <c r="R11" i="3"/>
  <c r="Q11" i="3"/>
  <c r="O11" i="3"/>
  <c r="L11" i="3"/>
  <c r="M35" i="3" l="1"/>
  <c r="Y35" i="3"/>
  <c r="S11" i="3"/>
  <c r="AB11" i="3"/>
  <c r="Z11" i="3" s="1"/>
  <c r="P11" i="3"/>
  <c r="N11" i="3" s="1"/>
  <c r="Y11" i="3" l="1"/>
  <c r="M11" i="3"/>
  <c r="AE9" i="3" l="1"/>
  <c r="AD9" i="3"/>
  <c r="AE6" i="3"/>
  <c r="AD6" i="3"/>
  <c r="AC8" i="3"/>
  <c r="L31" i="3" l="1"/>
  <c r="O31" i="3"/>
  <c r="P31" i="3" s="1"/>
  <c r="Q31" i="3"/>
  <c r="R31" i="3"/>
  <c r="S31" i="3"/>
  <c r="U31" i="3"/>
  <c r="T31" i="3" s="1"/>
  <c r="V31" i="3"/>
  <c r="W31" i="3"/>
  <c r="X31" i="3"/>
  <c r="AA31" i="3"/>
  <c r="AB31" i="3" s="1"/>
  <c r="AC31" i="3"/>
  <c r="L32" i="3"/>
  <c r="M32" i="3"/>
  <c r="O32" i="3"/>
  <c r="N32" i="3" s="1"/>
  <c r="P32" i="3"/>
  <c r="Q32" i="3"/>
  <c r="R32" i="3"/>
  <c r="U32" i="3"/>
  <c r="V32" i="3" s="1"/>
  <c r="W32" i="3"/>
  <c r="X32" i="3"/>
  <c r="Y32" i="3"/>
  <c r="AA32" i="3"/>
  <c r="Z32" i="3" s="1"/>
  <c r="AB32" i="3"/>
  <c r="AC32" i="3"/>
  <c r="T32" i="3" l="1"/>
  <c r="N31" i="3"/>
  <c r="Y31" i="3"/>
  <c r="M31" i="3"/>
  <c r="Z31" i="3"/>
  <c r="S32" i="3"/>
  <c r="L23" i="3" l="1"/>
  <c r="L22" i="3"/>
  <c r="AC24" i="3"/>
  <c r="AA24" i="3"/>
  <c r="X24" i="3"/>
  <c r="W24" i="3"/>
  <c r="U24" i="3"/>
  <c r="V24" i="3" s="1"/>
  <c r="T24" i="3" s="1"/>
  <c r="R24" i="3"/>
  <c r="Q24" i="3"/>
  <c r="O24" i="3"/>
  <c r="L24" i="3"/>
  <c r="AC23" i="3"/>
  <c r="AA23" i="3"/>
  <c r="AB23" i="3" s="1"/>
  <c r="Z23" i="3" s="1"/>
  <c r="X23" i="3"/>
  <c r="W23" i="3"/>
  <c r="U23" i="3"/>
  <c r="R23" i="3"/>
  <c r="Q23" i="3"/>
  <c r="O23" i="3"/>
  <c r="P23" i="3" s="1"/>
  <c r="N23" i="3" s="1"/>
  <c r="Y23" i="3" l="1"/>
  <c r="S24" i="3"/>
  <c r="P24" i="3"/>
  <c r="N24" i="3" s="1"/>
  <c r="AB24" i="3"/>
  <c r="Z24" i="3" s="1"/>
  <c r="M23" i="3"/>
  <c r="V23" i="3"/>
  <c r="T23" i="3" s="1"/>
  <c r="M24" i="3" l="1"/>
  <c r="S23" i="3"/>
  <c r="Y24" i="3"/>
  <c r="AC25" i="3" l="1"/>
  <c r="AA25" i="3"/>
  <c r="X25" i="3"/>
  <c r="W25" i="3"/>
  <c r="U25" i="3"/>
  <c r="V25" i="3" s="1"/>
  <c r="T25" i="3" s="1"/>
  <c r="R25" i="3"/>
  <c r="Q25" i="3"/>
  <c r="O25" i="3"/>
  <c r="L25" i="3"/>
  <c r="S25" i="3" l="1"/>
  <c r="AB25" i="3"/>
  <c r="Z25" i="3" s="1"/>
  <c r="P25" i="3"/>
  <c r="N25" i="3" s="1"/>
  <c r="U6" i="7"/>
  <c r="U7" i="7"/>
  <c r="U8" i="7"/>
  <c r="U5" i="7"/>
  <c r="J6" i="5"/>
  <c r="R6" i="5"/>
  <c r="O6" i="7"/>
  <c r="P6" i="7" s="1"/>
  <c r="O7" i="7"/>
  <c r="Q7" i="7" s="1"/>
  <c r="O8" i="7"/>
  <c r="P8" i="7" s="1"/>
  <c r="O5" i="7"/>
  <c r="P5" i="7" s="1"/>
  <c r="R6" i="7"/>
  <c r="S6" i="7" s="1"/>
  <c r="R7" i="7"/>
  <c r="T7" i="7" s="1"/>
  <c r="R8" i="7"/>
  <c r="S8" i="7" s="1"/>
  <c r="R5" i="7"/>
  <c r="S5" i="7" s="1"/>
  <c r="L6" i="7"/>
  <c r="N6" i="7" s="1"/>
  <c r="L7" i="7"/>
  <c r="N7" i="7" s="1"/>
  <c r="L8" i="7"/>
  <c r="N8" i="7" s="1"/>
  <c r="N5" i="7"/>
  <c r="Y25" i="3" l="1"/>
  <c r="M25" i="3"/>
  <c r="Q5" i="7"/>
  <c r="P7" i="7"/>
  <c r="T5" i="7"/>
  <c r="S7" i="7"/>
  <c r="Q8" i="7"/>
  <c r="Q6" i="7"/>
  <c r="T8" i="7"/>
  <c r="T6" i="7"/>
  <c r="M8" i="7"/>
  <c r="M7" i="7"/>
  <c r="M6" i="7"/>
  <c r="L12" i="3" l="1"/>
  <c r="L13" i="3"/>
  <c r="O13" i="3"/>
  <c r="P13" i="3" s="1"/>
  <c r="Q13" i="3"/>
  <c r="R13" i="3"/>
  <c r="U13" i="3"/>
  <c r="V13" i="3"/>
  <c r="W13" i="3"/>
  <c r="X13" i="3"/>
  <c r="AA13" i="3"/>
  <c r="AB13" i="3" s="1"/>
  <c r="AC13" i="3"/>
  <c r="L14" i="3"/>
  <c r="O14" i="3"/>
  <c r="P14" i="3"/>
  <c r="Q14" i="3"/>
  <c r="R14" i="3"/>
  <c r="U14" i="3"/>
  <c r="V14" i="3" s="1"/>
  <c r="W14" i="3"/>
  <c r="X14" i="3"/>
  <c r="AA14" i="3"/>
  <c r="AB14" i="3" s="1"/>
  <c r="AC14" i="3"/>
  <c r="AE12" i="3" l="1"/>
  <c r="AD12" i="3"/>
  <c r="Z14" i="3"/>
  <c r="N14" i="3"/>
  <c r="T13" i="3"/>
  <c r="Y14" i="3"/>
  <c r="M14" i="3"/>
  <c r="S13" i="3"/>
  <c r="T14" i="3"/>
  <c r="Z13" i="3"/>
  <c r="N13" i="3"/>
  <c r="S14" i="3"/>
  <c r="Y13" i="3"/>
  <c r="M13" i="3"/>
  <c r="L7" i="3" l="1"/>
  <c r="V16" i="5"/>
  <c r="V15" i="5"/>
  <c r="V14" i="5"/>
  <c r="V13" i="5"/>
  <c r="V12" i="5"/>
  <c r="S25" i="5" l="1"/>
  <c r="Q24" i="5"/>
  <c r="R24" i="5" s="1"/>
  <c r="Q21" i="5"/>
  <c r="R21" i="5" s="1"/>
  <c r="Q20" i="5"/>
  <c r="S20" i="5" s="1"/>
  <c r="Q19" i="5"/>
  <c r="S19" i="5" s="1"/>
  <c r="Q18" i="5"/>
  <c r="S18" i="5" s="1"/>
  <c r="I25" i="5"/>
  <c r="K25" i="5" s="1"/>
  <c r="I24" i="5"/>
  <c r="J24" i="5" s="1"/>
  <c r="I21" i="5"/>
  <c r="J21" i="5" s="1"/>
  <c r="I20" i="5"/>
  <c r="K20" i="5" s="1"/>
  <c r="I19" i="5"/>
  <c r="K19" i="5" s="1"/>
  <c r="I18" i="5"/>
  <c r="K18" i="5" s="1"/>
  <c r="J19" i="5" l="1"/>
  <c r="K24" i="5"/>
  <c r="R19" i="5"/>
  <c r="S24" i="5"/>
  <c r="R18" i="5"/>
  <c r="R20" i="5"/>
  <c r="S21" i="5"/>
  <c r="R25" i="5"/>
  <c r="J18" i="5"/>
  <c r="J20" i="5"/>
  <c r="K21" i="5"/>
  <c r="J25" i="5"/>
  <c r="Z17" i="5" l="1"/>
  <c r="AA17" i="5"/>
  <c r="Z16" i="5"/>
  <c r="AA16" i="5"/>
  <c r="Z15" i="5"/>
  <c r="AA15" i="5"/>
  <c r="Z14" i="5"/>
  <c r="AA14" i="5"/>
  <c r="Z13" i="5"/>
  <c r="AA13" i="5"/>
  <c r="Z12" i="5"/>
  <c r="AA12" i="5"/>
  <c r="Z9" i="5"/>
  <c r="Z8" i="5"/>
  <c r="AA8" i="5"/>
  <c r="Z7" i="5"/>
  <c r="AA7" i="5"/>
  <c r="AA6" i="5"/>
  <c r="AC7" i="3"/>
  <c r="Q17" i="5" l="1"/>
  <c r="S17" i="5" s="1"/>
  <c r="I17" i="5"/>
  <c r="K17" i="5" s="1"/>
  <c r="Q16" i="5"/>
  <c r="R16" i="5" s="1"/>
  <c r="I16" i="5"/>
  <c r="J16" i="5" s="1"/>
  <c r="Q15" i="5"/>
  <c r="S15" i="5" s="1"/>
  <c r="I15" i="5"/>
  <c r="K15" i="5" s="1"/>
  <c r="Q14" i="5"/>
  <c r="S14" i="5" s="1"/>
  <c r="I14" i="5"/>
  <c r="K14" i="5" s="1"/>
  <c r="Q13" i="5"/>
  <c r="S13" i="5" s="1"/>
  <c r="I13" i="5"/>
  <c r="K13" i="5" s="1"/>
  <c r="Q12" i="5"/>
  <c r="S12" i="5" s="1"/>
  <c r="I12" i="5"/>
  <c r="J12" i="5" s="1"/>
  <c r="Q9" i="5"/>
  <c r="S9" i="5" s="1"/>
  <c r="I9" i="5"/>
  <c r="J9" i="5" s="1"/>
  <c r="Q8" i="5"/>
  <c r="S8" i="5" s="1"/>
  <c r="I8" i="5"/>
  <c r="J8" i="5" s="1"/>
  <c r="Q7" i="5"/>
  <c r="S7" i="5" s="1"/>
  <c r="I7" i="5"/>
  <c r="J7" i="5" s="1"/>
  <c r="Q6" i="5"/>
  <c r="S6" i="5" s="1"/>
  <c r="I6" i="5"/>
  <c r="R34" i="3"/>
  <c r="R17" i="5" l="1"/>
  <c r="K6" i="5"/>
  <c r="R7" i="5"/>
  <c r="K8" i="5"/>
  <c r="R9" i="5"/>
  <c r="K12" i="5"/>
  <c r="K16" i="5"/>
  <c r="J15" i="5"/>
  <c r="K7" i="5"/>
  <c r="R8" i="5"/>
  <c r="K9" i="5"/>
  <c r="R12" i="5"/>
  <c r="R13" i="5"/>
  <c r="S16" i="5"/>
  <c r="J13" i="5"/>
  <c r="R14" i="5"/>
  <c r="J17" i="5"/>
  <c r="J14" i="5"/>
  <c r="R15" i="5"/>
  <c r="AC18" i="3"/>
  <c r="AC19" i="3"/>
  <c r="AC20" i="3"/>
  <c r="AC21" i="3"/>
  <c r="AC22" i="3"/>
  <c r="AC26" i="3"/>
  <c r="AC27" i="3"/>
  <c r="AC28" i="3"/>
  <c r="AC29" i="3"/>
  <c r="AC30" i="3"/>
  <c r="AC33" i="3"/>
  <c r="AC34" i="3"/>
  <c r="AC17" i="3"/>
  <c r="Q34" i="3"/>
  <c r="O34" i="3"/>
  <c r="P34" i="3" s="1"/>
  <c r="M34" i="3" s="1"/>
  <c r="L34" i="3"/>
  <c r="R33" i="3"/>
  <c r="Q33" i="3"/>
  <c r="O33" i="3"/>
  <c r="L33" i="3"/>
  <c r="X34" i="3"/>
  <c r="AA34" i="3"/>
  <c r="AB34" i="3" s="1"/>
  <c r="X33" i="3"/>
  <c r="AA33" i="3"/>
  <c r="AB33" i="3" s="1"/>
  <c r="W34" i="3"/>
  <c r="W33" i="3"/>
  <c r="U34" i="3"/>
  <c r="V34" i="3" s="1"/>
  <c r="U33" i="3"/>
  <c r="V33" i="3"/>
  <c r="T33" i="3" s="1"/>
  <c r="S33" i="3" l="1"/>
  <c r="N34" i="3"/>
  <c r="S34" i="3"/>
  <c r="P33" i="3"/>
  <c r="N33" i="3" s="1"/>
  <c r="Z34" i="3"/>
  <c r="Y34" i="3"/>
  <c r="Z33" i="3"/>
  <c r="Y33" i="3"/>
  <c r="T34" i="3"/>
  <c r="M33" i="3" l="1"/>
  <c r="L26" i="3"/>
  <c r="O26" i="3"/>
  <c r="P26" i="3" s="1"/>
  <c r="Q26" i="3"/>
  <c r="R26" i="3"/>
  <c r="U26" i="3"/>
  <c r="V26" i="3" s="1"/>
  <c r="W26" i="3"/>
  <c r="X26" i="3"/>
  <c r="AA26" i="3"/>
  <c r="AB26" i="3" s="1"/>
  <c r="L27" i="3"/>
  <c r="O27" i="3"/>
  <c r="P27" i="3" s="1"/>
  <c r="Q27" i="3"/>
  <c r="R27" i="3"/>
  <c r="U27" i="3"/>
  <c r="V27" i="3" s="1"/>
  <c r="W27" i="3"/>
  <c r="X27" i="3"/>
  <c r="AA27" i="3"/>
  <c r="AB27" i="3" s="1"/>
  <c r="L28" i="3"/>
  <c r="O28" i="3"/>
  <c r="P28" i="3" s="1"/>
  <c r="Q28" i="3"/>
  <c r="R28" i="3"/>
  <c r="U28" i="3"/>
  <c r="V28" i="3" s="1"/>
  <c r="W28" i="3"/>
  <c r="X28" i="3"/>
  <c r="AA28" i="3"/>
  <c r="AB28" i="3" s="1"/>
  <c r="L29" i="3"/>
  <c r="O29" i="3"/>
  <c r="P29" i="3" s="1"/>
  <c r="Q29" i="3"/>
  <c r="R29" i="3"/>
  <c r="U29" i="3"/>
  <c r="V29" i="3" s="1"/>
  <c r="W29" i="3"/>
  <c r="X29" i="3"/>
  <c r="AA29" i="3"/>
  <c r="AB29" i="3" s="1"/>
  <c r="L30" i="3"/>
  <c r="O30" i="3"/>
  <c r="P30" i="3" s="1"/>
  <c r="Q30" i="3"/>
  <c r="R30" i="3"/>
  <c r="U30" i="3"/>
  <c r="V30" i="3" s="1"/>
  <c r="W30" i="3"/>
  <c r="X30" i="3"/>
  <c r="AA30" i="3"/>
  <c r="AB30" i="3" s="1"/>
  <c r="T30" i="3" l="1"/>
  <c r="S30" i="3"/>
  <c r="N29" i="3"/>
  <c r="M29" i="3"/>
  <c r="Z29" i="3"/>
  <c r="Y29" i="3"/>
  <c r="Z27" i="3"/>
  <c r="Y27" i="3"/>
  <c r="T26" i="3"/>
  <c r="S26" i="3"/>
  <c r="T28" i="3"/>
  <c r="S28" i="3"/>
  <c r="N27" i="3"/>
  <c r="M27" i="3"/>
  <c r="T29" i="3"/>
  <c r="N28" i="3"/>
  <c r="Z26" i="3"/>
  <c r="N26" i="3"/>
  <c r="Z30" i="3"/>
  <c r="T27" i="3"/>
  <c r="Y30" i="3"/>
  <c r="M30" i="3"/>
  <c r="S29" i="3"/>
  <c r="Y28" i="3"/>
  <c r="M28" i="3"/>
  <c r="S27" i="3"/>
  <c r="Y26" i="3"/>
  <c r="M26" i="3"/>
  <c r="N30" i="3"/>
  <c r="Z28" i="3"/>
  <c r="AA17" i="3" l="1"/>
  <c r="AB17" i="3" s="1"/>
  <c r="Z17" i="3" s="1"/>
  <c r="X7" i="3"/>
  <c r="AA7" i="3"/>
  <c r="AB7" i="3" s="1"/>
  <c r="X8" i="3"/>
  <c r="AA8" i="3"/>
  <c r="AB8" i="3" s="1"/>
  <c r="X9" i="3"/>
  <c r="AA9" i="3"/>
  <c r="AB9" i="3" s="1"/>
  <c r="AC9" i="3"/>
  <c r="X10" i="3"/>
  <c r="AA10" i="3"/>
  <c r="AB10" i="3" s="1"/>
  <c r="AC10" i="3"/>
  <c r="X12" i="3"/>
  <c r="AA12" i="3"/>
  <c r="AB12" i="3" s="1"/>
  <c r="AC12" i="3"/>
  <c r="X15" i="3"/>
  <c r="AA15" i="3"/>
  <c r="AB15" i="3" s="1"/>
  <c r="Z15" i="3" s="1"/>
  <c r="AC15" i="3"/>
  <c r="X16" i="3"/>
  <c r="AA16" i="3"/>
  <c r="AB16" i="3" s="1"/>
  <c r="AC16" i="3"/>
  <c r="X17" i="3"/>
  <c r="X18" i="3"/>
  <c r="AA18" i="3"/>
  <c r="AB18" i="3" s="1"/>
  <c r="X19" i="3"/>
  <c r="AA19" i="3"/>
  <c r="X20" i="3"/>
  <c r="AA20" i="3"/>
  <c r="AB20" i="3" s="1"/>
  <c r="X21" i="3"/>
  <c r="AA21" i="3"/>
  <c r="X22" i="3"/>
  <c r="AA22" i="3"/>
  <c r="AB22" i="3" s="1"/>
  <c r="U6" i="3"/>
  <c r="W22" i="3"/>
  <c r="U22" i="3"/>
  <c r="V22" i="3" s="1"/>
  <c r="R22" i="3"/>
  <c r="Q22" i="3"/>
  <c r="O22" i="3"/>
  <c r="W21" i="3"/>
  <c r="U21" i="3"/>
  <c r="V21" i="3" s="1"/>
  <c r="R21" i="3"/>
  <c r="Q21" i="3"/>
  <c r="O21" i="3"/>
  <c r="L21" i="3"/>
  <c r="W20" i="3"/>
  <c r="U20" i="3"/>
  <c r="R20" i="3"/>
  <c r="Q20" i="3"/>
  <c r="O20" i="3"/>
  <c r="P20" i="3" s="1"/>
  <c r="N20" i="3" s="1"/>
  <c r="L20" i="3"/>
  <c r="W19" i="3"/>
  <c r="U19" i="3"/>
  <c r="R19" i="3"/>
  <c r="Q19" i="3"/>
  <c r="O19" i="3"/>
  <c r="L19" i="3"/>
  <c r="W18" i="3"/>
  <c r="U18" i="3"/>
  <c r="R18" i="3"/>
  <c r="Q18" i="3"/>
  <c r="O18" i="3"/>
  <c r="P18" i="3" s="1"/>
  <c r="N18" i="3" s="1"/>
  <c r="L18" i="3"/>
  <c r="W17" i="3"/>
  <c r="U17" i="3"/>
  <c r="V17" i="3" s="1"/>
  <c r="S17" i="3" s="1"/>
  <c r="R17" i="3"/>
  <c r="Q17" i="3"/>
  <c r="O17" i="3"/>
  <c r="L17" i="3"/>
  <c r="AB21" i="3" l="1"/>
  <c r="Y21" i="3" s="1"/>
  <c r="Z8" i="3"/>
  <c r="Y8" i="3"/>
  <c r="AB19" i="3"/>
  <c r="Z19" i="3" s="1"/>
  <c r="Y15" i="3"/>
  <c r="Z10" i="3"/>
  <c r="Y10" i="3"/>
  <c r="Y17" i="3"/>
  <c r="Z20" i="3"/>
  <c r="Z18" i="3"/>
  <c r="Z16" i="3"/>
  <c r="Z12" i="3"/>
  <c r="Z9" i="3"/>
  <c r="Z7" i="3"/>
  <c r="Z22" i="3"/>
  <c r="Y22" i="3"/>
  <c r="Y20" i="3"/>
  <c r="Y18" i="3"/>
  <c r="Y16" i="3"/>
  <c r="Y12" i="3"/>
  <c r="Y9" i="3"/>
  <c r="Y7" i="3"/>
  <c r="V19" i="3"/>
  <c r="S19" i="3" s="1"/>
  <c r="S21" i="3"/>
  <c r="T21" i="3"/>
  <c r="S22" i="3"/>
  <c r="T22" i="3"/>
  <c r="V18" i="3"/>
  <c r="S18" i="3" s="1"/>
  <c r="P19" i="3"/>
  <c r="V20" i="3"/>
  <c r="S20" i="3" s="1"/>
  <c r="P21" i="3"/>
  <c r="P22" i="3"/>
  <c r="T17" i="3"/>
  <c r="P17" i="3"/>
  <c r="M18" i="3"/>
  <c r="M20" i="3"/>
  <c r="Z21" i="3" l="1"/>
  <c r="Y19" i="3"/>
  <c r="N19" i="3"/>
  <c r="N21" i="3"/>
  <c r="N17" i="3"/>
  <c r="N22" i="3"/>
  <c r="M17" i="3"/>
  <c r="T19" i="3"/>
  <c r="M19" i="3"/>
  <c r="M22" i="3"/>
  <c r="T20" i="3"/>
  <c r="M21" i="3"/>
  <c r="T18" i="3"/>
  <c r="W8" i="3" l="1"/>
  <c r="W7" i="3"/>
  <c r="W9" i="3"/>
  <c r="W10" i="3"/>
  <c r="W12" i="3"/>
  <c r="W15" i="3"/>
  <c r="W16" i="3"/>
  <c r="W6" i="3"/>
  <c r="Q8" i="3"/>
  <c r="Q9" i="3"/>
  <c r="Q10" i="3"/>
  <c r="Q12" i="3"/>
  <c r="Q15" i="3"/>
  <c r="Q16" i="3"/>
  <c r="Q7" i="3"/>
  <c r="R7" i="3"/>
  <c r="U8" i="3"/>
  <c r="R8" i="3"/>
  <c r="O8" i="3"/>
  <c r="L8" i="3"/>
  <c r="U16" i="3"/>
  <c r="V16" i="3" s="1"/>
  <c r="T16" i="3" s="1"/>
  <c r="R16" i="3"/>
  <c r="O16" i="3"/>
  <c r="L16" i="3"/>
  <c r="U15" i="3"/>
  <c r="V15" i="3" s="1"/>
  <c r="T15" i="3" s="1"/>
  <c r="R15" i="3"/>
  <c r="O15" i="3"/>
  <c r="L15" i="3"/>
  <c r="U12" i="3"/>
  <c r="V12" i="3" s="1"/>
  <c r="T12" i="3" s="1"/>
  <c r="R12" i="3"/>
  <c r="O12" i="3"/>
  <c r="U10" i="3"/>
  <c r="V10" i="3" s="1"/>
  <c r="T10" i="3" s="1"/>
  <c r="R10" i="3"/>
  <c r="O10" i="3"/>
  <c r="L10" i="3"/>
  <c r="U9" i="3"/>
  <c r="V9" i="3" s="1"/>
  <c r="T9" i="3" s="1"/>
  <c r="R9" i="3"/>
  <c r="O9" i="3"/>
  <c r="L9" i="3"/>
  <c r="U7" i="3"/>
  <c r="O7" i="3"/>
  <c r="V6" i="3"/>
  <c r="S6" i="3" s="1"/>
  <c r="R6" i="3"/>
  <c r="P7" i="3" l="1"/>
  <c r="M7" i="3" s="1"/>
  <c r="V7" i="3"/>
  <c r="T7" i="3" s="1"/>
  <c r="P8" i="3"/>
  <c r="V8" i="3"/>
  <c r="T8" i="3" s="1"/>
  <c r="S10" i="3"/>
  <c r="S15" i="3"/>
  <c r="T6" i="3"/>
  <c r="S9" i="3"/>
  <c r="P10" i="3"/>
  <c r="S16" i="3"/>
  <c r="P12" i="3"/>
  <c r="P9" i="3"/>
  <c r="P16" i="3"/>
  <c r="S12" i="3"/>
  <c r="P15" i="3"/>
  <c r="S7" i="3" l="1"/>
  <c r="N9" i="3"/>
  <c r="M12" i="3"/>
  <c r="N7" i="3"/>
  <c r="N15" i="3"/>
  <c r="N10" i="3"/>
  <c r="N16" i="3"/>
  <c r="N8" i="3"/>
  <c r="M8" i="3"/>
  <c r="N12" i="3"/>
  <c r="S8" i="3"/>
  <c r="M9" i="3"/>
  <c r="M15" i="3"/>
  <c r="M16" i="3"/>
  <c r="M10" i="3"/>
</calcChain>
</file>

<file path=xl/sharedStrings.xml><?xml version="1.0" encoding="utf-8"?>
<sst xmlns="http://schemas.openxmlformats.org/spreadsheetml/2006/main" count="816" uniqueCount="193">
  <si>
    <t>EM5 vivants</t>
  </si>
  <si>
    <t>IC bas</t>
  </si>
  <si>
    <t>IC haut</t>
  </si>
  <si>
    <t>Erreur standard</t>
  </si>
  <si>
    <t xml:space="preserve">TMM5 </t>
  </si>
  <si>
    <t>Manakara final 2015</t>
  </si>
  <si>
    <t>Date</t>
  </si>
  <si>
    <t xml:space="preserve">Manakara </t>
  </si>
  <si>
    <t>2002 à ?</t>
  </si>
  <si>
    <t>Etape (initiale,évaluation, etc.)</t>
  </si>
  <si>
    <t>Initiale</t>
  </si>
  <si>
    <t>Evaluation</t>
  </si>
  <si>
    <t>11 sur 31</t>
  </si>
  <si>
    <t>Toutes (46)</t>
  </si>
  <si>
    <t>Farafangana</t>
  </si>
  <si>
    <t>2012-2017</t>
  </si>
  <si>
    <t>24 sur 31</t>
  </si>
  <si>
    <t>2017-2020</t>
  </si>
  <si>
    <t>2021-2022</t>
  </si>
  <si>
    <t>Vohipeno</t>
  </si>
  <si>
    <t>16 sur 21</t>
  </si>
  <si>
    <t>Vondrozo</t>
  </si>
  <si>
    <t>Vangaindrano</t>
  </si>
  <si>
    <t>2 sur 18</t>
  </si>
  <si>
    <t>3 sur 34</t>
  </si>
  <si>
    <t xml:space="preserve">Part des 3 maladies </t>
  </si>
  <si>
    <t>Part des 3 maladies</t>
  </si>
  <si>
    <t>Décès 3 maladies</t>
  </si>
  <si>
    <t>Décès d'EM5</t>
  </si>
  <si>
    <t>Nazombe</t>
  </si>
  <si>
    <t xml:space="preserve">Nambiti </t>
  </si>
  <si>
    <t>Waruma</t>
  </si>
  <si>
    <t>Chiunjiza</t>
  </si>
  <si>
    <t>Chiwosa</t>
  </si>
  <si>
    <t>Maluwa</t>
  </si>
  <si>
    <t>Phalombe</t>
  </si>
  <si>
    <t>Lilongwe</t>
  </si>
  <si>
    <t>Communes ou CS</t>
  </si>
  <si>
    <t>TMM5 hors mort-nés</t>
  </si>
  <si>
    <t>TMM5 avec mort-nés</t>
  </si>
  <si>
    <t>TMNN</t>
  </si>
  <si>
    <t>Pays</t>
  </si>
  <si>
    <t>Madagascar</t>
  </si>
  <si>
    <t>Malawi</t>
  </si>
  <si>
    <t>Maluwa+Dickson</t>
  </si>
  <si>
    <t>Katchale</t>
  </si>
  <si>
    <t>Nambazo</t>
  </si>
  <si>
    <t>Kalinde</t>
  </si>
  <si>
    <t>Mpasa</t>
  </si>
  <si>
    <t>Ndaula</t>
  </si>
  <si>
    <t>Memba</t>
  </si>
  <si>
    <t>Chipene</t>
  </si>
  <si>
    <t>Monapo</t>
  </si>
  <si>
    <t>Murruto</t>
  </si>
  <si>
    <t>Pavala</t>
  </si>
  <si>
    <t>Meserepane</t>
  </si>
  <si>
    <t>Metocheria</t>
  </si>
  <si>
    <t>Mozambique</t>
  </si>
  <si>
    <t>Guinée</t>
  </si>
  <si>
    <t>Kankan</t>
  </si>
  <si>
    <t>District/Préfecture</t>
  </si>
  <si>
    <t>Tinti Oulen</t>
  </si>
  <si>
    <t>Mamouroudou</t>
  </si>
  <si>
    <t>Cohorte réelle</t>
  </si>
  <si>
    <t>Cohorte synthétique</t>
  </si>
  <si>
    <t>TMM5 numérateur</t>
  </si>
  <si>
    <t>TMM5 dénominateur</t>
  </si>
  <si>
    <t>TMM5</t>
  </si>
  <si>
    <t>TMNN numérateur</t>
  </si>
  <si>
    <t>TMNN dénominateur</t>
  </si>
  <si>
    <t>Part des décès néonataux (HMN)</t>
  </si>
  <si>
    <t>Numérateur</t>
  </si>
  <si>
    <t>Cal+Chip</t>
  </si>
  <si>
    <t>Itoculo+Ramiane</t>
  </si>
  <si>
    <t>Caleia+Chipene</t>
  </si>
  <si>
    <t>Zone contrôle</t>
  </si>
  <si>
    <t>Contrôle de Vohipeno (Ikongo)</t>
  </si>
  <si>
    <t>Enquête</t>
  </si>
  <si>
    <r>
      <t>p</t>
    </r>
    <r>
      <rPr>
        <b/>
        <vertAlign val="subscript"/>
        <sz val="11"/>
        <rFont val="Calibri"/>
        <family val="2"/>
        <scheme val="minor"/>
      </rPr>
      <t>value</t>
    </r>
  </si>
  <si>
    <t>Significatif</t>
  </si>
  <si>
    <t>Dénominateur</t>
  </si>
  <si>
    <t>Témoin</t>
  </si>
  <si>
    <t>Etape (initiale,évaluation, zone témoin, etc.)</t>
  </si>
  <si>
    <t>Initiale et témoin</t>
  </si>
  <si>
    <t>Décès mort-nés</t>
  </si>
  <si>
    <t>Décès néonataux</t>
  </si>
  <si>
    <t>2016-2022</t>
  </si>
  <si>
    <t>Naissances vivantes</t>
  </si>
  <si>
    <t>Décès d'EM1</t>
  </si>
  <si>
    <t>Période considérée</t>
  </si>
  <si>
    <t>2 ans (2015-2016)</t>
  </si>
  <si>
    <t>2 ans (2017-2017)</t>
  </si>
  <si>
    <t>TMM1</t>
  </si>
  <si>
    <t>TMM5
‰</t>
  </si>
  <si>
    <t>TMM1
‰</t>
  </si>
  <si>
    <t>TMNN ‰</t>
  </si>
  <si>
    <t xml:space="preserve">TMM5 ‰ </t>
  </si>
  <si>
    <t>TMM5 ‰</t>
  </si>
  <si>
    <t>Chitekesa</t>
  </si>
  <si>
    <t>Mwanga</t>
  </si>
  <si>
    <t>Gum+Fan+Chim</t>
  </si>
  <si>
    <t>Mchinji</t>
  </si>
  <si>
    <t>Mogincual</t>
  </si>
  <si>
    <t>Xa-Momade</t>
  </si>
  <si>
    <t>Xa-Selemane</t>
  </si>
  <si>
    <t>%</t>
  </si>
  <si>
    <t>pts</t>
  </si>
  <si>
    <t>2021-2023</t>
  </si>
  <si>
    <t>7 sur 21</t>
  </si>
  <si>
    <t>Contrôle de Kankan (Kerouane)</t>
  </si>
  <si>
    <t>Soromaya</t>
  </si>
  <si>
    <t>Variation %</t>
  </si>
  <si>
    <t>Variation pts</t>
  </si>
  <si>
    <t>J</t>
  </si>
  <si>
    <t>F</t>
  </si>
  <si>
    <t>M</t>
  </si>
  <si>
    <t>A</t>
  </si>
  <si>
    <t>S</t>
  </si>
  <si>
    <t>O</t>
  </si>
  <si>
    <t>N</t>
  </si>
  <si>
    <t>D</t>
  </si>
  <si>
    <t>B</t>
  </si>
  <si>
    <t>C</t>
  </si>
  <si>
    <t>Exemple de comparaison des méthodes de calcul - Memba 2018</t>
  </si>
  <si>
    <t>1. Méthode directe par taux de mortalité</t>
  </si>
  <si>
    <t>Enquête réalisée en décembre 2018, 499 femmes interrogées, 1 771 enfants inclus dans l'historique  des naissances, nés entre 1980 et 2018</t>
  </si>
  <si>
    <t>2. Méthode directe par extrapolation sur 5 ans</t>
  </si>
  <si>
    <t xml:space="preserve">3. Méthode de l’historique des naissances </t>
  </si>
  <si>
    <t>Période considérée par indicateur</t>
  </si>
  <si>
    <t>Nombre d'enfants vivants au jour de l'enquête (décembre 2018)</t>
  </si>
  <si>
    <t>3a. Cohorte réelle d’enfants</t>
  </si>
  <si>
    <t>Pour le TMM5</t>
  </si>
  <si>
    <t>Naissances d'enfants sur une période donnée (janvier 2017 à décembre 2018)</t>
  </si>
  <si>
    <t>Décès d'EM5 (nombre de décès d’enfants de moins de 5 ans) sur la même période</t>
  </si>
  <si>
    <t>Décès d'EM1 (nombre de décès d’enfants de moins d'1 an) sur la même période</t>
  </si>
  <si>
    <t>Décès d'EMNN (nombre de décès d’enfants de moins de 28 jours) sur la même période</t>
  </si>
  <si>
    <t>Décès d'EM5 (nombre de décès d’enfants de moins de 5 ans) sur 12 mois précédent l'enquête</t>
  </si>
  <si>
    <t>Naissances d'enfants de janvier 2009 à décembre 2013</t>
  </si>
  <si>
    <t>Mort de ces enfants depuis leur naissance jusqu'à l'âge de 5 ans</t>
  </si>
  <si>
    <t>Pour le TMM1</t>
  </si>
  <si>
    <t>Naissances d'enfants de janvier 2015 à décembre 2017</t>
  </si>
  <si>
    <t>Mort de ces enfants depuis leur naissance jusqu'à l'âge de 1 an</t>
  </si>
  <si>
    <t>Pour le TMNN</t>
  </si>
  <si>
    <t>Naissances d'enfants de janvier 2015 à novembre 2018</t>
  </si>
  <si>
    <t>Mort de ces enfants depuis leur naissance jusqu'à l'âge de 1 mois</t>
  </si>
  <si>
    <t>3b. Cohorte synthétique d’enfants</t>
  </si>
  <si>
    <t>Groupe 2 : 1-2 mois</t>
  </si>
  <si>
    <t>Groupe 3 : 3-6 mois</t>
  </si>
  <si>
    <t>Groupe 4 : 6-12 mois</t>
  </si>
  <si>
    <t>Groupe 5 : 12-24 mois</t>
  </si>
  <si>
    <t>Groupe 6 : 24-36 mois</t>
  </si>
  <si>
    <t>Groupe 7 : 36-48 mois</t>
  </si>
  <si>
    <t>Groupe 8 : 48-60 mois</t>
  </si>
  <si>
    <t>Groupe 1 : 0-1 mois</t>
  </si>
  <si>
    <t>-</t>
  </si>
  <si>
    <t>Taux de mortalité néonatale</t>
  </si>
  <si>
    <t>Taux de mortalité infantile</t>
  </si>
  <si>
    <t>Taux de mortalité infanto-juvénile</t>
  </si>
  <si>
    <t>Résultats</t>
  </si>
  <si>
    <r>
      <t xml:space="preserve">Résultats des enquêtes de mortalité réalisées entre 2014 et 2020 par pays avec la </t>
    </r>
    <r>
      <rPr>
        <b/>
        <sz val="16"/>
        <color rgb="FFFF0000"/>
        <rFont val="Calibri"/>
        <family val="2"/>
        <scheme val="minor"/>
      </rPr>
      <t>méthode historique des naissances</t>
    </r>
  </si>
  <si>
    <r>
      <t xml:space="preserve">Résultats des enquêtes de mortalité réalisées entre 2002 et 2023 par pays avec la </t>
    </r>
    <r>
      <rPr>
        <b/>
        <sz val="16"/>
        <color rgb="FFFF0000"/>
        <rFont val="Calibri"/>
        <family val="2"/>
        <scheme val="minor"/>
      </rPr>
      <t>méthode directe par extrapolation sur 5 ans</t>
    </r>
  </si>
  <si>
    <r>
      <t xml:space="preserve">Résultats des enquêtes de mortalité réalisées entre 2016 et 2018 par pays avec la </t>
    </r>
    <r>
      <rPr>
        <b/>
        <sz val="16"/>
        <color rgb="FFFF0000"/>
        <rFont val="Calibri"/>
        <family val="2"/>
        <scheme val="minor"/>
      </rPr>
      <t>méthode directe par taux de mortalité</t>
    </r>
  </si>
  <si>
    <t>% décès</t>
  </si>
  <si>
    <r>
      <t xml:space="preserve">Valeur du </t>
    </r>
    <r>
      <rPr>
        <b/>
        <sz val="11"/>
        <rFont val="Calibri"/>
        <family val="2"/>
      </rPr>
      <t xml:space="preserve">χ² </t>
    </r>
    <r>
      <rPr>
        <b/>
        <sz val="11"/>
        <rFont val="Calibri"/>
        <family val="2"/>
        <scheme val="minor"/>
      </rPr>
      <t>sur % décès</t>
    </r>
  </si>
  <si>
    <t>Faraf initial</t>
  </si>
  <si>
    <t>Faraf éval</t>
  </si>
  <si>
    <r>
      <t>Test siginifcatif  si p</t>
    </r>
    <r>
      <rPr>
        <b/>
        <vertAlign val="subscript"/>
        <sz val="11"/>
        <color rgb="FFFF0000"/>
        <rFont val="Calibri"/>
        <family val="2"/>
        <scheme val="minor"/>
      </rPr>
      <t>value</t>
    </r>
    <r>
      <rPr>
        <b/>
        <sz val="11"/>
        <color rgb="FFFF0000"/>
        <rFont val="Calibri"/>
        <family val="2"/>
        <scheme val="minor"/>
      </rPr>
      <t xml:space="preserve"> &lt; 5 % et valeur du χ² &gt; 3,84</t>
    </r>
  </si>
  <si>
    <t>Nombres d’enfants dans la cohorte</t>
  </si>
  <si>
    <t>Nombre de décès dans la cohorte sous 5 ans</t>
  </si>
  <si>
    <t>Nombre de décès dans la cohorte sous 1 an</t>
  </si>
  <si>
    <t>Calculs</t>
  </si>
  <si>
    <t>en ‰</t>
  </si>
  <si>
    <t>IC</t>
  </si>
  <si>
    <t>‰</t>
  </si>
  <si>
    <t>IC NN bas</t>
  </si>
  <si>
    <t>IC NN haut</t>
  </si>
  <si>
    <t>IC M5 bas</t>
  </si>
  <si>
    <t>IC M5 haut</t>
  </si>
  <si>
    <t>IC M1 bas</t>
  </si>
  <si>
    <t>IC M1 haut</t>
  </si>
  <si>
    <t>[0 ; 10]</t>
  </si>
  <si>
    <t>[17 ; 60]</t>
  </si>
  <si>
    <t>[42 ; 99]</t>
  </si>
  <si>
    <t>erreur standard</t>
  </si>
  <si>
    <t>[28 ; 113]</t>
  </si>
  <si>
    <t>Naissances vivantes EM5</t>
  </si>
  <si>
    <t>Naissances vivantes EM1</t>
  </si>
  <si>
    <t>Naissances vivantes NN</t>
  </si>
  <si>
    <t>[0 ; 9]</t>
  </si>
  <si>
    <t>[18 ; 53]</t>
  </si>
  <si>
    <t>[80 ; 137]</t>
  </si>
  <si>
    <t>TMNN‰</t>
  </si>
  <si>
    <r>
      <t>Test statistique de significativité entre deux résultats d'enquête de mortalité faits avec la</t>
    </r>
    <r>
      <rPr>
        <b/>
        <sz val="16"/>
        <color rgb="FFFF0000"/>
        <rFont val="Calibri"/>
        <family val="2"/>
        <scheme val="minor"/>
      </rPr>
      <t xml:space="preserve"> méthode directe par extrapolation sur 5 ans (chi² ou </t>
    </r>
    <r>
      <rPr>
        <b/>
        <sz val="16"/>
        <color rgb="FFFF0000"/>
        <rFont val="Calibri"/>
        <family val="2"/>
      </rPr>
      <t>χ²)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</si>
</sst>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b/>
      <sz val="11"/>
      <name val="Calibri"/>
      <family val="2"/>
    </font>
    <font>
      <b/>
      <vertAlign val="subscript"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vertAlign val="subscript"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rgb="FFFF0000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6B0FE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208">
    <xf numFmtId="0" fontId="0" fillId="0" borderId="0" xfId="0"/>
    <xf numFmtId="0" fontId="5" fillId="0" borderId="0" xfId="0" applyFont="1"/>
    <xf numFmtId="0" fontId="0" fillId="0" borderId="0" xfId="0" applyFont="1" applyFill="1"/>
    <xf numFmtId="0" fontId="0" fillId="0" borderId="0" xfId="0" applyFont="1"/>
    <xf numFmtId="9" fontId="1" fillId="0" borderId="0" xfId="1" applyFont="1"/>
    <xf numFmtId="9" fontId="0" fillId="0" borderId="0" xfId="0" applyNumberFormat="1" applyFont="1"/>
    <xf numFmtId="9" fontId="0" fillId="0" borderId="0" xfId="1" applyFont="1"/>
    <xf numFmtId="9" fontId="7" fillId="5" borderId="3" xfId="1" applyFont="1" applyFill="1" applyBorder="1" applyAlignment="1">
      <alignment horizontal="center" vertical="center" wrapText="1"/>
    </xf>
    <xf numFmtId="9" fontId="7" fillId="5" borderId="4" xfId="1" applyFont="1" applyFill="1" applyBorder="1" applyAlignment="1">
      <alignment horizontal="center" vertical="center" wrapText="1"/>
    </xf>
    <xf numFmtId="9" fontId="6" fillId="5" borderId="4" xfId="1" applyFont="1" applyFill="1" applyBorder="1" applyAlignment="1">
      <alignment horizontal="center" vertical="center" wrapText="1"/>
    </xf>
    <xf numFmtId="9" fontId="4" fillId="5" borderId="4" xfId="1" applyFont="1" applyFill="1" applyBorder="1" applyAlignment="1">
      <alignment horizontal="center" vertical="center" wrapText="1"/>
    </xf>
    <xf numFmtId="9" fontId="4" fillId="5" borderId="5" xfId="1" applyFont="1" applyFill="1" applyBorder="1" applyAlignment="1">
      <alignment horizontal="center" vertical="center" wrapText="1"/>
    </xf>
    <xf numFmtId="2" fontId="0" fillId="0" borderId="6" xfId="0" applyNumberFormat="1" applyFont="1" applyBorder="1"/>
    <xf numFmtId="0" fontId="0" fillId="0" borderId="0" xfId="0" applyFont="1" applyBorder="1"/>
    <xf numFmtId="0" fontId="0" fillId="0" borderId="8" xfId="0" applyFont="1" applyBorder="1"/>
    <xf numFmtId="0" fontId="0" fillId="0" borderId="9" xfId="0" applyFont="1" applyBorder="1"/>
    <xf numFmtId="9" fontId="4" fillId="0" borderId="0" xfId="1" applyFont="1"/>
    <xf numFmtId="0" fontId="4" fillId="0" borderId="0" xfId="1" applyNumberFormat="1" applyFont="1"/>
    <xf numFmtId="0" fontId="0" fillId="0" borderId="0" xfId="0" applyNumberFormat="1"/>
    <xf numFmtId="0" fontId="0" fillId="0" borderId="0" xfId="1" applyNumberFormat="1" applyFont="1"/>
    <xf numFmtId="0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Fill="1" applyBorder="1"/>
    <xf numFmtId="1" fontId="3" fillId="0" borderId="1" xfId="1" quotePrefix="1" applyNumberFormat="1" applyFont="1" applyFill="1" applyBorder="1"/>
    <xf numFmtId="164" fontId="5" fillId="0" borderId="1" xfId="1" applyNumberFormat="1" applyFont="1" applyFill="1" applyBorder="1"/>
    <xf numFmtId="0" fontId="0" fillId="0" borderId="1" xfId="0" applyFont="1" applyBorder="1"/>
    <xf numFmtId="0" fontId="0" fillId="0" borderId="1" xfId="0" applyBorder="1"/>
    <xf numFmtId="9" fontId="0" fillId="0" borderId="1" xfId="1" applyFont="1" applyBorder="1"/>
    <xf numFmtId="0" fontId="0" fillId="0" borderId="1" xfId="0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/>
    </xf>
    <xf numFmtId="1" fontId="7" fillId="0" borderId="1" xfId="0" applyNumberFormat="1" applyFont="1" applyFill="1" applyBorder="1"/>
    <xf numFmtId="3" fontId="0" fillId="4" borderId="1" xfId="0" applyNumberFormat="1" applyFont="1" applyFill="1" applyBorder="1" applyAlignment="1">
      <alignment horizontal="center" vertical="center"/>
    </xf>
    <xf numFmtId="3" fontId="5" fillId="4" borderId="1" xfId="0" applyNumberFormat="1" applyFont="1" applyFill="1" applyBorder="1" applyAlignment="1">
      <alignment horizontal="center"/>
    </xf>
    <xf numFmtId="3" fontId="0" fillId="4" borderId="1" xfId="0" applyNumberFormat="1" applyFont="1" applyFill="1" applyBorder="1" applyAlignment="1">
      <alignment horizontal="right" vertical="center"/>
    </xf>
    <xf numFmtId="3" fontId="5" fillId="4" borderId="1" xfId="0" applyNumberFormat="1" applyFont="1" applyFill="1" applyBorder="1" applyAlignment="1">
      <alignment horizontal="right"/>
    </xf>
    <xf numFmtId="3" fontId="0" fillId="4" borderId="1" xfId="0" applyNumberFormat="1" applyFill="1" applyBorder="1" applyAlignment="1">
      <alignment horizontal="right"/>
    </xf>
    <xf numFmtId="17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1" fontId="9" fillId="0" borderId="1" xfId="1" applyNumberFormat="1" applyFont="1" applyFill="1" applyBorder="1" applyAlignment="1">
      <alignment vertical="center"/>
    </xf>
    <xf numFmtId="9" fontId="8" fillId="0" borderId="1" xfId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vertical="center"/>
    </xf>
    <xf numFmtId="9" fontId="4" fillId="9" borderId="13" xfId="1" applyFont="1" applyFill="1" applyBorder="1" applyAlignment="1">
      <alignment horizontal="center" vertical="center" wrapText="1"/>
    </xf>
    <xf numFmtId="9" fontId="6" fillId="9" borderId="13" xfId="1" applyFont="1" applyFill="1" applyBorder="1" applyAlignment="1">
      <alignment horizontal="center" vertical="center" wrapText="1"/>
    </xf>
    <xf numFmtId="9" fontId="4" fillId="3" borderId="13" xfId="1" applyFont="1" applyFill="1" applyBorder="1" applyAlignment="1">
      <alignment horizontal="center" vertical="center" wrapText="1"/>
    </xf>
    <xf numFmtId="9" fontId="6" fillId="3" borderId="13" xfId="1" applyFont="1" applyFill="1" applyBorder="1" applyAlignment="1">
      <alignment horizontal="center" vertical="center" wrapText="1"/>
    </xf>
    <xf numFmtId="9" fontId="4" fillId="6" borderId="13" xfId="1" applyFont="1" applyFill="1" applyBorder="1" applyAlignment="1">
      <alignment horizontal="center" vertical="center" wrapText="1"/>
    </xf>
    <xf numFmtId="9" fontId="6" fillId="6" borderId="13" xfId="1" applyFont="1" applyFill="1" applyBorder="1" applyAlignment="1">
      <alignment horizontal="center" vertical="center" wrapText="1"/>
    </xf>
    <xf numFmtId="0" fontId="2" fillId="10" borderId="13" xfId="0" applyFont="1" applyFill="1" applyBorder="1" applyAlignment="1">
      <alignment horizontal="center" vertical="center" wrapText="1"/>
    </xf>
    <xf numFmtId="0" fontId="2" fillId="10" borderId="14" xfId="0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1" fontId="14" fillId="0" borderId="1" xfId="1" applyNumberFormat="1" applyFont="1" applyFill="1" applyBorder="1" applyAlignment="1">
      <alignment vertical="center"/>
    </xf>
    <xf numFmtId="0" fontId="8" fillId="0" borderId="1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1" fontId="5" fillId="0" borderId="1" xfId="0" applyNumberFormat="1" applyFont="1" applyFill="1" applyBorder="1"/>
    <xf numFmtId="1" fontId="5" fillId="0" borderId="1" xfId="1" quotePrefix="1" applyNumberFormat="1" applyFont="1" applyFill="1" applyBorder="1"/>
    <xf numFmtId="3" fontId="0" fillId="0" borderId="0" xfId="0" applyNumberFormat="1" applyFont="1" applyBorder="1"/>
    <xf numFmtId="0" fontId="6" fillId="0" borderId="0" xfId="0" applyFont="1" applyBorder="1"/>
    <xf numFmtId="9" fontId="4" fillId="0" borderId="0" xfId="1" applyFont="1" applyBorder="1"/>
    <xf numFmtId="0" fontId="4" fillId="0" borderId="1" xfId="0" applyFont="1" applyBorder="1" applyAlignment="1">
      <alignment vertical="center"/>
    </xf>
    <xf numFmtId="0" fontId="10" fillId="9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0" fillId="9" borderId="1" xfId="0" applyFont="1" applyFill="1" applyBorder="1"/>
    <xf numFmtId="0" fontId="0" fillId="3" borderId="1" xfId="0" applyFont="1" applyFill="1" applyBorder="1"/>
    <xf numFmtId="0" fontId="0" fillId="7" borderId="1" xfId="0" applyFont="1" applyFill="1" applyBorder="1"/>
    <xf numFmtId="0" fontId="0" fillId="11" borderId="1" xfId="0" applyFont="1" applyFill="1" applyBorder="1"/>
    <xf numFmtId="0" fontId="0" fillId="12" borderId="1" xfId="0" applyFont="1" applyFill="1" applyBorder="1"/>
    <xf numFmtId="1" fontId="0" fillId="0" borderId="0" xfId="0" applyNumberFormat="1" applyFont="1"/>
    <xf numFmtId="9" fontId="4" fillId="2" borderId="1" xfId="1" applyFont="1" applyFill="1" applyBorder="1" applyAlignment="1">
      <alignment horizontal="center" vertical="center" wrapText="1"/>
    </xf>
    <xf numFmtId="0" fontId="4" fillId="2" borderId="0" xfId="0" applyFont="1" applyFill="1"/>
    <xf numFmtId="9" fontId="4" fillId="2" borderId="0" xfId="1" applyFont="1" applyFill="1"/>
    <xf numFmtId="0" fontId="4" fillId="13" borderId="0" xfId="0" applyFont="1" applyFill="1"/>
    <xf numFmtId="1" fontId="4" fillId="13" borderId="0" xfId="1" applyNumberFormat="1" applyFont="1" applyFill="1"/>
    <xf numFmtId="0" fontId="18" fillId="0" borderId="0" xfId="0" applyFont="1"/>
    <xf numFmtId="0" fontId="4" fillId="14" borderId="15" xfId="0" applyFont="1" applyFill="1" applyBorder="1"/>
    <xf numFmtId="0" fontId="4" fillId="0" borderId="6" xfId="0" applyFont="1" applyBorder="1"/>
    <xf numFmtId="0" fontId="18" fillId="0" borderId="0" xfId="0" applyFont="1" applyBorder="1"/>
    <xf numFmtId="0" fontId="18" fillId="0" borderId="7" xfId="0" applyFont="1" applyBorder="1"/>
    <xf numFmtId="0" fontId="0" fillId="0" borderId="8" xfId="0" applyBorder="1"/>
    <xf numFmtId="0" fontId="0" fillId="0" borderId="9" xfId="0" applyBorder="1"/>
    <xf numFmtId="0" fontId="0" fillId="14" borderId="9" xfId="0" applyFill="1" applyBorder="1"/>
    <xf numFmtId="0" fontId="0" fillId="14" borderId="10" xfId="0" applyFill="1" applyBorder="1"/>
    <xf numFmtId="0" fontId="0" fillId="0" borderId="0" xfId="0" applyFill="1"/>
    <xf numFmtId="0" fontId="4" fillId="7" borderId="15" xfId="0" applyFont="1" applyFill="1" applyBorder="1"/>
    <xf numFmtId="0" fontId="0" fillId="12" borderId="9" xfId="0" applyFill="1" applyBorder="1"/>
    <xf numFmtId="0" fontId="0" fillId="12" borderId="10" xfId="0" applyFill="1" applyBorder="1"/>
    <xf numFmtId="0" fontId="0" fillId="0" borderId="9" xfId="0" applyFill="1" applyBorder="1"/>
    <xf numFmtId="0" fontId="4" fillId="18" borderId="15" xfId="0" applyFont="1" applyFill="1" applyBorder="1"/>
    <xf numFmtId="0" fontId="0" fillId="0" borderId="8" xfId="0" applyBorder="1" applyAlignment="1">
      <alignment horizontal="left" indent="1"/>
    </xf>
    <xf numFmtId="0" fontId="0" fillId="0" borderId="10" xfId="0" applyBorder="1"/>
    <xf numFmtId="0" fontId="0" fillId="15" borderId="9" xfId="0" applyFill="1" applyBorder="1"/>
    <xf numFmtId="0" fontId="0" fillId="15" borderId="10" xfId="0" applyFill="1" applyBorder="1"/>
    <xf numFmtId="0" fontId="0" fillId="0" borderId="16" xfId="0" applyBorder="1"/>
    <xf numFmtId="0" fontId="0" fillId="0" borderId="17" xfId="0" applyBorder="1"/>
    <xf numFmtId="0" fontId="0" fillId="14" borderId="17" xfId="0" applyFill="1" applyBorder="1"/>
    <xf numFmtId="0" fontId="0" fillId="14" borderId="18" xfId="0" applyFill="1" applyBorder="1"/>
    <xf numFmtId="0" fontId="0" fillId="0" borderId="19" xfId="0" applyBorder="1"/>
    <xf numFmtId="0" fontId="0" fillId="0" borderId="11" xfId="0" applyBorder="1"/>
    <xf numFmtId="0" fontId="0" fillId="14" borderId="11" xfId="0" applyFill="1" applyBorder="1"/>
    <xf numFmtId="0" fontId="0" fillId="14" borderId="20" xfId="0" applyFill="1" applyBorder="1"/>
    <xf numFmtId="0" fontId="0" fillId="0" borderId="16" xfId="0" applyFont="1" applyBorder="1"/>
    <xf numFmtId="0" fontId="18" fillId="0" borderId="17" xfId="0" applyFont="1" applyBorder="1"/>
    <xf numFmtId="0" fontId="18" fillId="0" borderId="17" xfId="0" applyFont="1" applyFill="1" applyBorder="1"/>
    <xf numFmtId="0" fontId="0" fillId="0" borderId="17" xfId="0" applyFill="1" applyBorder="1"/>
    <xf numFmtId="0" fontId="0" fillId="12" borderId="17" xfId="0" applyFill="1" applyBorder="1"/>
    <xf numFmtId="0" fontId="0" fillId="12" borderId="18" xfId="0" applyFill="1" applyBorder="1"/>
    <xf numFmtId="0" fontId="0" fillId="0" borderId="16" xfId="0" applyBorder="1" applyAlignment="1">
      <alignment horizontal="left" indent="1"/>
    </xf>
    <xf numFmtId="0" fontId="0" fillId="15" borderId="17" xfId="0" applyFill="1" applyBorder="1"/>
    <xf numFmtId="0" fontId="0" fillId="0" borderId="18" xfId="0" applyBorder="1"/>
    <xf numFmtId="0" fontId="0" fillId="0" borderId="19" xfId="0" applyBorder="1" applyAlignment="1">
      <alignment horizontal="left" indent="1"/>
    </xf>
    <xf numFmtId="0" fontId="0" fillId="15" borderId="11" xfId="0" applyFill="1" applyBorder="1"/>
    <xf numFmtId="0" fontId="0" fillId="15" borderId="20" xfId="0" applyFill="1" applyBorder="1"/>
    <xf numFmtId="0" fontId="4" fillId="0" borderId="16" xfId="0" applyFont="1" applyBorder="1"/>
    <xf numFmtId="0" fontId="18" fillId="0" borderId="18" xfId="0" applyFont="1" applyBorder="1"/>
    <xf numFmtId="0" fontId="4" fillId="15" borderId="19" xfId="0" applyFont="1" applyFill="1" applyBorder="1"/>
    <xf numFmtId="0" fontId="0" fillId="0" borderId="20" xfId="0" applyBorder="1"/>
    <xf numFmtId="0" fontId="18" fillId="0" borderId="11" xfId="0" applyFont="1" applyBorder="1"/>
    <xf numFmtId="0" fontId="18" fillId="0" borderId="20" xfId="0" applyFont="1" applyBorder="1"/>
    <xf numFmtId="0" fontId="4" fillId="16" borderId="15" xfId="0" applyFont="1" applyFill="1" applyBorder="1"/>
    <xf numFmtId="0" fontId="0" fillId="9" borderId="9" xfId="0" applyFill="1" applyBorder="1"/>
    <xf numFmtId="0" fontId="0" fillId="3" borderId="9" xfId="0" applyFill="1" applyBorder="1"/>
    <xf numFmtId="0" fontId="0" fillId="17" borderId="9" xfId="0" applyFill="1" applyBorder="1"/>
    <xf numFmtId="0" fontId="0" fillId="0" borderId="1" xfId="0" applyFont="1" applyBorder="1" applyAlignment="1">
      <alignment horizontal="center" vertical="center"/>
    </xf>
    <xf numFmtId="0" fontId="0" fillId="9" borderId="17" xfId="0" applyFill="1" applyBorder="1"/>
    <xf numFmtId="0" fontId="0" fillId="3" borderId="17" xfId="0" applyFill="1" applyBorder="1"/>
    <xf numFmtId="0" fontId="0" fillId="17" borderId="18" xfId="0" applyFill="1" applyBorder="1"/>
    <xf numFmtId="0" fontId="0" fillId="9" borderId="11" xfId="0" applyFill="1" applyBorder="1"/>
    <xf numFmtId="0" fontId="0" fillId="3" borderId="11" xfId="0" applyFill="1" applyBorder="1"/>
    <xf numFmtId="0" fontId="0" fillId="17" borderId="11" xfId="0" applyFill="1" applyBorder="1"/>
    <xf numFmtId="0" fontId="0" fillId="0" borderId="26" xfId="0" applyBorder="1" applyAlignment="1">
      <alignment vertical="center"/>
    </xf>
    <xf numFmtId="0" fontId="0" fillId="0" borderId="25" xfId="0" applyFont="1" applyBorder="1" applyAlignment="1">
      <alignment horizontal="center" vertical="center"/>
    </xf>
    <xf numFmtId="0" fontId="0" fillId="0" borderId="27" xfId="0" applyBorder="1" applyAlignment="1">
      <alignment vertical="center"/>
    </xf>
    <xf numFmtId="0" fontId="0" fillId="0" borderId="30" xfId="0" applyFont="1" applyBorder="1" applyAlignment="1">
      <alignment horizontal="center" vertical="center"/>
    </xf>
    <xf numFmtId="3" fontId="0" fillId="0" borderId="7" xfId="0" applyNumberFormat="1" applyFont="1" applyBorder="1"/>
    <xf numFmtId="3" fontId="0" fillId="0" borderId="10" xfId="0" applyNumberFormat="1" applyFont="1" applyBorder="1"/>
    <xf numFmtId="0" fontId="6" fillId="0" borderId="0" xfId="0" applyFont="1"/>
    <xf numFmtId="0" fontId="0" fillId="19" borderId="0" xfId="0" applyFill="1"/>
    <xf numFmtId="0" fontId="18" fillId="19" borderId="0" xfId="0" applyFont="1" applyFill="1"/>
    <xf numFmtId="0" fontId="13" fillId="19" borderId="0" xfId="0" applyFont="1" applyFill="1"/>
    <xf numFmtId="0" fontId="18" fillId="19" borderId="0" xfId="0" applyFont="1" applyFill="1" applyBorder="1"/>
    <xf numFmtId="0" fontId="0" fillId="19" borderId="15" xfId="0" applyFill="1" applyBorder="1" applyAlignment="1">
      <alignment vertical="center"/>
    </xf>
    <xf numFmtId="0" fontId="0" fillId="19" borderId="24" xfId="0" applyFont="1" applyFill="1" applyBorder="1" applyAlignment="1">
      <alignment horizontal="center" vertical="center"/>
    </xf>
    <xf numFmtId="0" fontId="0" fillId="19" borderId="6" xfId="0" applyFill="1" applyBorder="1" applyAlignment="1">
      <alignment vertical="center"/>
    </xf>
    <xf numFmtId="0" fontId="0" fillId="19" borderId="6" xfId="0" applyFill="1" applyBorder="1"/>
    <xf numFmtId="0" fontId="0" fillId="19" borderId="0" xfId="0" applyFill="1" applyBorder="1"/>
    <xf numFmtId="0" fontId="0" fillId="19" borderId="0" xfId="0" applyFont="1" applyFill="1" applyBorder="1" applyAlignment="1">
      <alignment vertical="center"/>
    </xf>
    <xf numFmtId="0" fontId="18" fillId="19" borderId="0" xfId="0" applyFont="1" applyFill="1" applyBorder="1" applyAlignment="1">
      <alignment vertical="center"/>
    </xf>
    <xf numFmtId="0" fontId="4" fillId="19" borderId="0" xfId="0" applyFont="1" applyFill="1" applyBorder="1" applyAlignment="1">
      <alignment vertical="center"/>
    </xf>
    <xf numFmtId="1" fontId="0" fillId="0" borderId="1" xfId="0" applyNumberFormat="1" applyFont="1" applyBorder="1" applyAlignment="1">
      <alignment horizontal="center" vertical="center"/>
    </xf>
    <xf numFmtId="1" fontId="0" fillId="0" borderId="29" xfId="0" applyNumberFormat="1" applyFont="1" applyBorder="1" applyAlignment="1">
      <alignment horizontal="center" vertical="center"/>
    </xf>
    <xf numFmtId="1" fontId="18" fillId="19" borderId="0" xfId="0" applyNumberFormat="1" applyFont="1" applyFill="1" applyBorder="1" applyAlignment="1">
      <alignment vertical="center"/>
    </xf>
    <xf numFmtId="1" fontId="18" fillId="19" borderId="0" xfId="0" applyNumberFormat="1" applyFont="1" applyFill="1"/>
    <xf numFmtId="10" fontId="18" fillId="19" borderId="0" xfId="1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2" fillId="0" borderId="2" xfId="0" applyFont="1" applyBorder="1" applyAlignment="1">
      <alignment vertical="center"/>
    </xf>
    <xf numFmtId="0" fontId="22" fillId="0" borderId="28" xfId="0" applyFont="1" applyBorder="1" applyAlignment="1">
      <alignment vertical="center"/>
    </xf>
    <xf numFmtId="0" fontId="4" fillId="6" borderId="1" xfId="0" applyFont="1" applyFill="1" applyBorder="1" applyAlignment="1">
      <alignment horizontal="center"/>
    </xf>
    <xf numFmtId="0" fontId="4" fillId="9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4" fillId="9" borderId="2" xfId="0" applyFont="1" applyFill="1" applyBorder="1" applyAlignment="1">
      <alignment horizontal="center"/>
    </xf>
    <xf numFmtId="0" fontId="4" fillId="9" borderId="11" xfId="0" applyFont="1" applyFill="1" applyBorder="1" applyAlignment="1">
      <alignment horizontal="center"/>
    </xf>
    <xf numFmtId="0" fontId="4" fillId="9" borderId="12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9" fontId="4" fillId="6" borderId="1" xfId="1" applyFont="1" applyFill="1" applyBorder="1" applyAlignment="1">
      <alignment horizontal="center"/>
    </xf>
    <xf numFmtId="0" fontId="11" fillId="7" borderId="1" xfId="0" applyFont="1" applyFill="1" applyBorder="1" applyAlignment="1">
      <alignment horizontal="center"/>
    </xf>
    <xf numFmtId="0" fontId="11" fillId="8" borderId="2" xfId="0" applyFont="1" applyFill="1" applyBorder="1" applyAlignment="1">
      <alignment horizontal="center"/>
    </xf>
    <xf numFmtId="0" fontId="11" fillId="8" borderId="11" xfId="0" applyFont="1" applyFill="1" applyBorder="1" applyAlignment="1">
      <alignment horizontal="center"/>
    </xf>
    <xf numFmtId="0" fontId="11" fillId="8" borderId="12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19" fillId="2" borderId="31" xfId="0" applyFont="1" applyFill="1" applyBorder="1" applyAlignment="1">
      <alignment horizontal="left" vertical="center"/>
    </xf>
    <xf numFmtId="0" fontId="19" fillId="2" borderId="32" xfId="0" applyFont="1" applyFill="1" applyBorder="1" applyAlignment="1">
      <alignment horizontal="left" vertical="center"/>
    </xf>
    <xf numFmtId="0" fontId="19" fillId="2" borderId="40" xfId="0" applyFont="1" applyFill="1" applyBorder="1" applyAlignment="1">
      <alignment horizontal="left" vertical="center"/>
    </xf>
    <xf numFmtId="0" fontId="19" fillId="2" borderId="33" xfId="0" applyFont="1" applyFill="1" applyBorder="1" applyAlignment="1">
      <alignment horizontal="left" vertical="center"/>
    </xf>
    <xf numFmtId="0" fontId="19" fillId="13" borderId="21" xfId="0" applyFont="1" applyFill="1" applyBorder="1" applyAlignment="1">
      <alignment horizontal="left"/>
    </xf>
    <xf numFmtId="0" fontId="19" fillId="13" borderId="22" xfId="0" applyFont="1" applyFill="1" applyBorder="1" applyAlignment="1">
      <alignment horizontal="left"/>
    </xf>
    <xf numFmtId="0" fontId="19" fillId="13" borderId="23" xfId="0" applyFont="1" applyFill="1" applyBorder="1" applyAlignment="1">
      <alignment horizontal="left"/>
    </xf>
    <xf numFmtId="0" fontId="4" fillId="16" borderId="25" xfId="0" applyFont="1" applyFill="1" applyBorder="1" applyAlignment="1">
      <alignment horizontal="center" vertical="center" wrapText="1"/>
    </xf>
    <xf numFmtId="0" fontId="4" fillId="18" borderId="4" xfId="0" applyFont="1" applyFill="1" applyBorder="1" applyAlignment="1">
      <alignment horizontal="center" vertical="center" wrapText="1"/>
    </xf>
    <xf numFmtId="0" fontId="4" fillId="18" borderId="41" xfId="0" applyFont="1" applyFill="1" applyBorder="1" applyAlignment="1">
      <alignment horizontal="center" vertical="center" wrapText="1"/>
    </xf>
    <xf numFmtId="0" fontId="4" fillId="18" borderId="5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4" fillId="14" borderId="34" xfId="0" applyFont="1" applyFill="1" applyBorder="1" applyAlignment="1">
      <alignment horizontal="center" vertical="center" wrapText="1"/>
    </xf>
    <xf numFmtId="0" fontId="4" fillId="14" borderId="35" xfId="0" applyFont="1" applyFill="1" applyBorder="1" applyAlignment="1">
      <alignment horizontal="center" vertical="center" wrapText="1"/>
    </xf>
    <xf numFmtId="0" fontId="4" fillId="14" borderId="36" xfId="0" applyFont="1" applyFill="1" applyBorder="1" applyAlignment="1">
      <alignment horizontal="center" vertical="center" wrapText="1"/>
    </xf>
    <xf numFmtId="0" fontId="4" fillId="14" borderId="37" xfId="0" applyFont="1" applyFill="1" applyBorder="1" applyAlignment="1">
      <alignment horizontal="center" vertical="center" wrapText="1"/>
    </xf>
    <xf numFmtId="0" fontId="4" fillId="14" borderId="38" xfId="0" applyFont="1" applyFill="1" applyBorder="1" applyAlignment="1">
      <alignment horizontal="center" vertical="center" wrapText="1"/>
    </xf>
    <xf numFmtId="0" fontId="4" fillId="14" borderId="39" xfId="0" applyFont="1" applyFill="1" applyBorder="1" applyAlignment="1">
      <alignment horizontal="center" vertical="center" wrapText="1"/>
    </xf>
    <xf numFmtId="0" fontId="4" fillId="7" borderId="34" xfId="0" applyFont="1" applyFill="1" applyBorder="1" applyAlignment="1">
      <alignment horizontal="center" vertical="center" wrapText="1"/>
    </xf>
    <xf numFmtId="0" fontId="4" fillId="7" borderId="35" xfId="0" applyFont="1" applyFill="1" applyBorder="1" applyAlignment="1">
      <alignment horizontal="center" vertical="center" wrapText="1"/>
    </xf>
    <xf numFmtId="0" fontId="4" fillId="7" borderId="36" xfId="0" applyFont="1" applyFill="1" applyBorder="1" applyAlignment="1">
      <alignment horizontal="center" vertical="center" wrapText="1"/>
    </xf>
    <xf numFmtId="0" fontId="4" fillId="7" borderId="37" xfId="0" applyFont="1" applyFill="1" applyBorder="1" applyAlignment="1">
      <alignment horizontal="center" vertical="center" wrapText="1"/>
    </xf>
    <xf numFmtId="0" fontId="4" fillId="7" borderId="38" xfId="0" applyFont="1" applyFill="1" applyBorder="1" applyAlignment="1">
      <alignment horizontal="center" vertical="center" wrapText="1"/>
    </xf>
    <xf numFmtId="0" fontId="4" fillId="7" borderId="39" xfId="0" applyFont="1" applyFill="1" applyBorder="1" applyAlignment="1">
      <alignment horizontal="center" vertical="center" wrapText="1"/>
    </xf>
    <xf numFmtId="0" fontId="4" fillId="15" borderId="14" xfId="0" applyFont="1" applyFill="1" applyBorder="1" applyAlignment="1">
      <alignment horizontal="center" vertical="center" wrapText="1"/>
    </xf>
    <xf numFmtId="0" fontId="4" fillId="15" borderId="42" xfId="0" applyFont="1" applyFill="1" applyBorder="1" applyAlignment="1">
      <alignment horizontal="center" vertical="center" wrapText="1"/>
    </xf>
    <xf numFmtId="0" fontId="4" fillId="15" borderId="38" xfId="0" applyFont="1" applyFill="1" applyBorder="1" applyAlignment="1">
      <alignment horizontal="center" vertical="center" wrapText="1"/>
    </xf>
    <xf numFmtId="0" fontId="4" fillId="15" borderId="39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</cellXfs>
  <cellStyles count="4">
    <cellStyle name="Normal" xfId="0" builtinId="0"/>
    <cellStyle name="Normal 2 2" xfId="3"/>
    <cellStyle name="Pourcentage" xfId="1" builtinId="5"/>
    <cellStyle name="Pourcentage 2" xfId="2"/>
  </cellStyles>
  <dxfs count="0"/>
  <tableStyles count="0" defaultTableStyle="TableStyleMedium2" defaultPivotStyle="PivotStyleLight16"/>
  <colors>
    <mruColors>
      <color rgb="FFFFCCFF"/>
      <color rgb="FFE6B0FE"/>
      <color rgb="FFCC0099"/>
      <color rgb="FF71E5AE"/>
      <color rgb="FFCCFFCC"/>
      <color rgb="FFBDFFDE"/>
      <color rgb="FF44DC94"/>
      <color rgb="FFA3FFDA"/>
      <color rgb="FF00FF99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ropbox/A.%20DROPBOX%20SECTEUR%20MOZAWI/3.%20SANTE/3-%20MADAGASCAR/Rapports/2020/BDD/BBD_REGISTRE_MANAKAR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ropbox/Madagascar%20Sant&#233;/Commun/3-Strat&#233;gie/2022%20Vondrozo/2-BDD_Vondrozo_CUMU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7"/>
      <sheetName val="Feuil11"/>
      <sheetName val="Feuil12"/>
      <sheetName val="BDD_AC"/>
      <sheetName val="TCD_AC"/>
      <sheetName val="TDC_par mois et CSB"/>
      <sheetName val="Nb consultation moyen par mois"/>
      <sheetName val="TCD_mois"/>
      <sheetName val="Feuil9"/>
      <sheetName val="Feuil1"/>
      <sheetName val="Feuil3"/>
      <sheetName val="Feuil8"/>
      <sheetName val="Feuil10"/>
      <sheetName val="Liste"/>
      <sheetName val="Liste_AC"/>
      <sheetName val="Formule"/>
      <sheetName val="Feuil2"/>
      <sheetName val="Feuil4"/>
      <sheetName val="Feuil5"/>
      <sheetName val="Feuil6"/>
      <sheetName val="BBD_REGISTRE_MANAKA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omaka"/>
      <sheetName val="Karimbary"/>
      <sheetName val="Vohibe"/>
      <sheetName val="Mandritsara"/>
      <sheetName val="Marovandrika"/>
      <sheetName val="Mahatsinjobe"/>
      <sheetName val="Esongy"/>
      <sheetName val="Sosobahy"/>
      <sheetName val="Karianga"/>
      <sheetName val="FKT10"/>
      <sheetName val="FKT11"/>
      <sheetName val="FKT12"/>
      <sheetName val="FKT13"/>
      <sheetName val="FKT14"/>
      <sheetName val="FKT15"/>
      <sheetName val="FKT16"/>
      <sheetName val="Causes DC"/>
      <sheetName val="Données Démo (2)"/>
      <sheetName val="Données Démo"/>
      <sheetName val="Liste"/>
      <sheetName val="2-BDD_Vondrozo_CUMU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8"/>
  <sheetViews>
    <sheetView showGridLines="0" zoomScaleNormal="100" workbookViewId="0">
      <pane xSplit="7" ySplit="4" topLeftCell="H5" activePane="bottomRight" state="frozen"/>
      <selection pane="topRight" activeCell="G1" sqref="G1"/>
      <selection pane="bottomLeft" activeCell="A5" sqref="A5"/>
      <selection pane="bottomRight" activeCell="R3" sqref="R3:T3"/>
    </sheetView>
  </sheetViews>
  <sheetFormatPr baseColWidth="10" defaultRowHeight="15" x14ac:dyDescent="0.25"/>
  <cols>
    <col min="1" max="1" width="3.42578125" customWidth="1"/>
    <col min="2" max="2" width="9" customWidth="1"/>
    <col min="3" max="3" width="10.140625" customWidth="1"/>
    <col min="4" max="4" width="8" bestFit="1" customWidth="1"/>
    <col min="5" max="5" width="16.140625" bestFit="1" customWidth="1"/>
    <col min="6" max="6" width="14.85546875" bestFit="1" customWidth="1"/>
    <col min="7" max="7" width="12.5703125" customWidth="1"/>
    <col min="8" max="11" width="8.5703125" customWidth="1"/>
    <col min="12" max="16" width="7.5703125" customWidth="1"/>
    <col min="17" max="19" width="7.5703125" style="6" customWidth="1"/>
    <col min="20" max="21" width="7.5703125" customWidth="1"/>
    <col min="22" max="22" width="7.5703125" bestFit="1" customWidth="1"/>
    <col min="23" max="24" width="9.5703125" bestFit="1" customWidth="1"/>
  </cols>
  <sheetData>
    <row r="1" spans="2:21" ht="21" x14ac:dyDescent="0.35">
      <c r="B1" s="52" t="s">
        <v>161</v>
      </c>
    </row>
    <row r="2" spans="2:21" ht="8.25" customHeight="1" x14ac:dyDescent="0.35">
      <c r="B2" s="51"/>
    </row>
    <row r="3" spans="2:21" ht="15" customHeight="1" x14ac:dyDescent="0.25">
      <c r="L3" s="165" t="s">
        <v>38</v>
      </c>
      <c r="M3" s="165"/>
      <c r="N3" s="165"/>
      <c r="O3" s="166" t="s">
        <v>92</v>
      </c>
      <c r="P3" s="166"/>
      <c r="Q3" s="166"/>
      <c r="R3" s="164" t="s">
        <v>40</v>
      </c>
      <c r="S3" s="164"/>
      <c r="T3" s="164"/>
    </row>
    <row r="4" spans="2:21" ht="90" x14ac:dyDescent="0.25">
      <c r="B4" s="21" t="s">
        <v>41</v>
      </c>
      <c r="C4" s="21" t="s">
        <v>60</v>
      </c>
      <c r="D4" s="21" t="s">
        <v>6</v>
      </c>
      <c r="E4" s="21" t="s">
        <v>89</v>
      </c>
      <c r="F4" s="21" t="s">
        <v>37</v>
      </c>
      <c r="G4" s="21" t="s">
        <v>82</v>
      </c>
      <c r="H4" s="49" t="s">
        <v>87</v>
      </c>
      <c r="I4" s="49" t="s">
        <v>28</v>
      </c>
      <c r="J4" s="49" t="s">
        <v>88</v>
      </c>
      <c r="K4" s="50" t="s">
        <v>85</v>
      </c>
      <c r="L4" s="62" t="s">
        <v>93</v>
      </c>
      <c r="M4" s="63" t="s">
        <v>1</v>
      </c>
      <c r="N4" s="63" t="s">
        <v>2</v>
      </c>
      <c r="O4" s="64" t="s">
        <v>94</v>
      </c>
      <c r="P4" s="65" t="s">
        <v>1</v>
      </c>
      <c r="Q4" s="65" t="s">
        <v>2</v>
      </c>
      <c r="R4" s="66" t="s">
        <v>95</v>
      </c>
      <c r="S4" s="67" t="s">
        <v>1</v>
      </c>
      <c r="T4" s="67" t="s">
        <v>2</v>
      </c>
      <c r="U4" s="47" t="s">
        <v>70</v>
      </c>
    </row>
    <row r="5" spans="2:21" x14ac:dyDescent="0.25">
      <c r="B5" s="69" t="s">
        <v>57</v>
      </c>
      <c r="C5" s="38" t="s">
        <v>50</v>
      </c>
      <c r="D5" s="54">
        <v>2016</v>
      </c>
      <c r="E5" s="22" t="s">
        <v>90</v>
      </c>
      <c r="F5" s="39" t="s">
        <v>74</v>
      </c>
      <c r="G5" s="70" t="s">
        <v>10</v>
      </c>
      <c r="H5" s="35">
        <v>254</v>
      </c>
      <c r="I5" s="35">
        <v>20</v>
      </c>
      <c r="J5" s="36">
        <v>7</v>
      </c>
      <c r="K5" s="36">
        <v>1</v>
      </c>
      <c r="L5" s="40">
        <f>I5/H5*1000</f>
        <v>78.740157480314963</v>
      </c>
      <c r="M5" s="53">
        <f>(L5/1000-(1.96*(SQRT(L5/1000*(1-L5/1000)/(H5-1)))))*1000</f>
        <v>45.551856447326017</v>
      </c>
      <c r="N5" s="53">
        <f>(L5/1000+(1.96*(SQRT(L5/1000*(1-L5/1000)/(H5-1)))))*1000</f>
        <v>111.92845851330391</v>
      </c>
      <c r="O5" s="40">
        <f>J5/H5*1000</f>
        <v>27.559055118110237</v>
      </c>
      <c r="P5" s="53">
        <f>(O5/1000-(1.96*(SQRT(O5/1000*(1-O5/1000)/(H5-1)))))*1000</f>
        <v>7.3865613122088138</v>
      </c>
      <c r="Q5" s="53">
        <f>(O5/1000+(1.96*(SQRT(O5/1000*(1-O5/1000)/(H5-1)))))*1000</f>
        <v>47.731548924011655</v>
      </c>
      <c r="R5" s="40">
        <f>K5/H5*1000</f>
        <v>3.9370078740157481</v>
      </c>
      <c r="S5" s="53">
        <f>(R5/1000-(1.96*(SQRT(R5/1000*(1-R5/1000)/(H5-1)))))*1000</f>
        <v>-3.7795275590551176</v>
      </c>
      <c r="T5" s="53">
        <f>(R5/1000+(1.96*(SQRT(R5/1000*(1-R5/1000)/(H5-1)))))*1000</f>
        <v>11.653543307086613</v>
      </c>
      <c r="U5" s="41">
        <f>K5/I5</f>
        <v>0.05</v>
      </c>
    </row>
    <row r="6" spans="2:21" x14ac:dyDescent="0.25">
      <c r="B6" s="69" t="s">
        <v>57</v>
      </c>
      <c r="C6" s="38" t="s">
        <v>50</v>
      </c>
      <c r="D6" s="54">
        <v>2016</v>
      </c>
      <c r="E6" s="22" t="s">
        <v>90</v>
      </c>
      <c r="F6" s="39" t="s">
        <v>75</v>
      </c>
      <c r="G6" s="70" t="s">
        <v>10</v>
      </c>
      <c r="H6" s="37">
        <v>285</v>
      </c>
      <c r="I6" s="37">
        <v>29</v>
      </c>
      <c r="J6" s="37">
        <v>14</v>
      </c>
      <c r="K6" s="37">
        <v>7</v>
      </c>
      <c r="L6" s="40">
        <f t="shared" ref="L6:L8" si="0">I6/H6*1000</f>
        <v>101.75438596491227</v>
      </c>
      <c r="M6" s="53">
        <f t="shared" ref="M6:M8" si="1">(L6/1000-(1.96*(SQRT(L6/1000*(1-L6/1000)/(H6-1)))))*1000</f>
        <v>66.592592151190999</v>
      </c>
      <c r="N6" s="53">
        <f t="shared" ref="N6:N8" si="2">(L6/1000+(1.96*(SQRT(L6/1000*(1-L6/1000)/(H6-1)))))*1000</f>
        <v>136.91617977863356</v>
      </c>
      <c r="O6" s="40">
        <f t="shared" ref="O6:O8" si="3">J6/H6*1000</f>
        <v>49.122807017543863</v>
      </c>
      <c r="P6" s="53">
        <f t="shared" ref="P6:P8" si="4">(O6/1000-(1.96*(SQRT(O6/1000*(1-O6/1000)/(H6-1)))))*1000</f>
        <v>23.986544430195298</v>
      </c>
      <c r="Q6" s="53">
        <f t="shared" ref="Q6:Q8" si="5">(O6/1000+(1.96*(SQRT(O6/1000*(1-O6/1000)/(H6-1)))))*1000</f>
        <v>74.259069604892431</v>
      </c>
      <c r="R6" s="40">
        <f t="shared" ref="R6:R8" si="6">K6/H6*1000</f>
        <v>24.561403508771932</v>
      </c>
      <c r="S6" s="53">
        <f t="shared" ref="S6:S8" si="7">(R6/1000-(1.96*(SQRT(R6/1000*(1-R6/1000)/(H6-1)))))*1000</f>
        <v>6.5592915105396683</v>
      </c>
      <c r="T6" s="53">
        <f t="shared" ref="T6:T8" si="8">(R6/1000+(1.96*(SQRT(R6/1000*(1-R6/1000)/(H6-1)))))*1000</f>
        <v>42.56351550700419</v>
      </c>
      <c r="U6" s="41">
        <f t="shared" ref="U6:U8" si="9">K6/I6</f>
        <v>0.2413793103448276</v>
      </c>
    </row>
    <row r="7" spans="2:21" x14ac:dyDescent="0.25">
      <c r="B7" s="69" t="s">
        <v>57</v>
      </c>
      <c r="C7" s="38" t="s">
        <v>50</v>
      </c>
      <c r="D7" s="54">
        <v>2018</v>
      </c>
      <c r="E7" s="22" t="s">
        <v>91</v>
      </c>
      <c r="F7" s="39" t="s">
        <v>72</v>
      </c>
      <c r="G7" s="72" t="s">
        <v>11</v>
      </c>
      <c r="H7" s="35">
        <v>311</v>
      </c>
      <c r="I7" s="35">
        <v>22</v>
      </c>
      <c r="J7" s="36">
        <v>12</v>
      </c>
      <c r="K7" s="36">
        <v>1</v>
      </c>
      <c r="L7" s="40">
        <f t="shared" si="0"/>
        <v>70.739549839228303</v>
      </c>
      <c r="M7" s="53">
        <f t="shared" si="1"/>
        <v>42.198161334669635</v>
      </c>
      <c r="N7" s="53">
        <f t="shared" si="2"/>
        <v>99.280938343786957</v>
      </c>
      <c r="O7" s="40">
        <f t="shared" si="3"/>
        <v>38.585209003215439</v>
      </c>
      <c r="P7" s="53">
        <f t="shared" si="4"/>
        <v>17.144405702280352</v>
      </c>
      <c r="Q7" s="53">
        <f t="shared" si="5"/>
        <v>60.02601230415052</v>
      </c>
      <c r="R7" s="40">
        <f t="shared" si="6"/>
        <v>3.215434083601286</v>
      </c>
      <c r="S7" s="53">
        <f t="shared" si="7"/>
        <v>-3.086816720257235</v>
      </c>
      <c r="T7" s="53">
        <f t="shared" si="8"/>
        <v>9.5176848874598079</v>
      </c>
      <c r="U7" s="41">
        <f t="shared" si="9"/>
        <v>4.5454545454545456E-2</v>
      </c>
    </row>
    <row r="8" spans="2:21" x14ac:dyDescent="0.25">
      <c r="B8" s="69" t="s">
        <v>57</v>
      </c>
      <c r="C8" s="38" t="s">
        <v>50</v>
      </c>
      <c r="D8" s="54">
        <v>2018</v>
      </c>
      <c r="E8" s="22" t="s">
        <v>91</v>
      </c>
      <c r="F8" s="39" t="s">
        <v>75</v>
      </c>
      <c r="G8" s="72" t="s">
        <v>11</v>
      </c>
      <c r="H8" s="37">
        <v>310</v>
      </c>
      <c r="I8" s="37">
        <v>20</v>
      </c>
      <c r="J8" s="37">
        <v>15</v>
      </c>
      <c r="K8" s="37">
        <v>2</v>
      </c>
      <c r="L8" s="40">
        <f t="shared" si="0"/>
        <v>64.516129032258064</v>
      </c>
      <c r="M8" s="53">
        <f t="shared" si="1"/>
        <v>37.123788969302865</v>
      </c>
      <c r="N8" s="53">
        <f t="shared" si="2"/>
        <v>91.908469095213263</v>
      </c>
      <c r="O8" s="40">
        <f t="shared" si="3"/>
        <v>48.387096774193544</v>
      </c>
      <c r="P8" s="53">
        <f t="shared" si="4"/>
        <v>24.461004389297859</v>
      </c>
      <c r="Q8" s="53">
        <f t="shared" si="5"/>
        <v>72.313189159089248</v>
      </c>
      <c r="R8" s="40">
        <f t="shared" si="6"/>
        <v>6.4516129032258061</v>
      </c>
      <c r="S8" s="53">
        <f t="shared" si="7"/>
        <v>-2.4753862564403102</v>
      </c>
      <c r="T8" s="53">
        <f t="shared" si="8"/>
        <v>15.378612062891925</v>
      </c>
      <c r="U8" s="41">
        <f t="shared" si="9"/>
        <v>0.1</v>
      </c>
    </row>
  </sheetData>
  <mergeCells count="3">
    <mergeCell ref="R3:T3"/>
    <mergeCell ref="L3:N3"/>
    <mergeCell ref="O3:Q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9"/>
  <sheetViews>
    <sheetView zoomScaleNormal="100" workbookViewId="0">
      <pane xSplit="7" ySplit="4" topLeftCell="H5" activePane="bottomRight" state="frozen"/>
      <selection pane="topRight" activeCell="F1" sqref="F1"/>
      <selection pane="bottomLeft" activeCell="A4" sqref="A4"/>
      <selection pane="bottomRight" activeCell="H1" sqref="H1"/>
    </sheetView>
  </sheetViews>
  <sheetFormatPr baseColWidth="10" defaultRowHeight="15" x14ac:dyDescent="0.25"/>
  <cols>
    <col min="1" max="1" width="3.42578125" customWidth="1"/>
    <col min="2" max="2" width="12.5703125" bestFit="1" customWidth="1"/>
    <col min="3" max="3" width="18.5703125" bestFit="1" customWidth="1"/>
    <col min="4" max="4" width="10.85546875" bestFit="1" customWidth="1"/>
    <col min="5" max="5" width="16.42578125" bestFit="1" customWidth="1"/>
    <col min="6" max="6" width="15.7109375" bestFit="1" customWidth="1"/>
    <col min="7" max="7" width="7.28515625" bestFit="1" customWidth="1"/>
    <col min="8" max="8" width="6.5703125" bestFit="1" customWidth="1"/>
    <col min="9" max="9" width="6.140625" bestFit="1" customWidth="1"/>
    <col min="10" max="10" width="7.7109375" bestFit="1" customWidth="1"/>
    <col min="11" max="11" width="8.28515625" bestFit="1" customWidth="1"/>
    <col min="12" max="12" width="6.7109375" bestFit="1" customWidth="1"/>
    <col min="13" max="13" width="6.5703125" bestFit="1" customWidth="1"/>
    <col min="14" max="14" width="5.7109375" style="6" bestFit="1" customWidth="1"/>
    <col min="15" max="15" width="6.140625" style="6" bestFit="1" customWidth="1"/>
    <col min="16" max="16" width="8.7109375" style="6" bestFit="1" customWidth="1"/>
    <col min="17" max="17" width="9" style="6" bestFit="1" customWidth="1"/>
    <col min="18" max="18" width="6.85546875" style="6" customWidth="1"/>
    <col min="19" max="19" width="6.140625" customWidth="1"/>
    <col min="20" max="20" width="7.140625" customWidth="1"/>
    <col min="21" max="21" width="7" customWidth="1"/>
    <col min="22" max="22" width="8.7109375" customWidth="1"/>
    <col min="23" max="23" width="9.5703125" customWidth="1"/>
    <col min="24" max="24" width="9" style="1" customWidth="1"/>
    <col min="25" max="25" width="6.140625" style="1" customWidth="1"/>
    <col min="26" max="26" width="7.140625" customWidth="1"/>
    <col min="27" max="27" width="7.7109375" customWidth="1"/>
    <col min="28" max="28" width="7.5703125" customWidth="1"/>
    <col min="29" max="29" width="10.5703125" customWidth="1"/>
    <col min="30" max="30" width="9.5703125" bestFit="1" customWidth="1"/>
  </cols>
  <sheetData>
    <row r="1" spans="1:31" ht="21" x14ac:dyDescent="0.35">
      <c r="B1" s="52" t="s">
        <v>160</v>
      </c>
    </row>
    <row r="2" spans="1:31" ht="8.25" customHeight="1" x14ac:dyDescent="0.35">
      <c r="B2" s="51"/>
    </row>
    <row r="3" spans="1:31" ht="15" customHeight="1" x14ac:dyDescent="0.25">
      <c r="L3" s="167" t="s">
        <v>38</v>
      </c>
      <c r="M3" s="168"/>
      <c r="N3" s="168"/>
      <c r="O3" s="168"/>
      <c r="P3" s="168"/>
      <c r="Q3" s="169"/>
      <c r="R3" s="170" t="s">
        <v>39</v>
      </c>
      <c r="S3" s="170"/>
      <c r="T3" s="170"/>
      <c r="U3" s="170"/>
      <c r="V3" s="170"/>
      <c r="W3" s="170"/>
      <c r="X3" s="164" t="s">
        <v>40</v>
      </c>
      <c r="Y3" s="164"/>
      <c r="Z3" s="164"/>
      <c r="AA3" s="164"/>
      <c r="AB3" s="164"/>
      <c r="AC3" s="164"/>
    </row>
    <row r="4" spans="1:31" ht="60" x14ac:dyDescent="0.25">
      <c r="B4" s="21" t="s">
        <v>41</v>
      </c>
      <c r="C4" s="21" t="s">
        <v>60</v>
      </c>
      <c r="D4" s="21" t="s">
        <v>6</v>
      </c>
      <c r="E4" s="21" t="s">
        <v>37</v>
      </c>
      <c r="F4" s="21" t="s">
        <v>9</v>
      </c>
      <c r="G4" s="49" t="s">
        <v>0</v>
      </c>
      <c r="H4" s="49" t="s">
        <v>28</v>
      </c>
      <c r="I4" s="50" t="s">
        <v>84</v>
      </c>
      <c r="J4" s="50" t="s">
        <v>27</v>
      </c>
      <c r="K4" s="50" t="s">
        <v>85</v>
      </c>
      <c r="L4" s="43" t="s">
        <v>96</v>
      </c>
      <c r="M4" s="44" t="s">
        <v>1</v>
      </c>
      <c r="N4" s="44" t="s">
        <v>2</v>
      </c>
      <c r="O4" s="43" t="s">
        <v>162</v>
      </c>
      <c r="P4" s="43" t="s">
        <v>3</v>
      </c>
      <c r="Q4" s="43" t="s">
        <v>25</v>
      </c>
      <c r="R4" s="45" t="s">
        <v>96</v>
      </c>
      <c r="S4" s="46" t="s">
        <v>1</v>
      </c>
      <c r="T4" s="46" t="s">
        <v>2</v>
      </c>
      <c r="U4" s="45" t="s">
        <v>162</v>
      </c>
      <c r="V4" s="45" t="s">
        <v>3</v>
      </c>
      <c r="W4" s="45" t="s">
        <v>26</v>
      </c>
      <c r="X4" s="47" t="s">
        <v>95</v>
      </c>
      <c r="Y4" s="48" t="s">
        <v>1</v>
      </c>
      <c r="Z4" s="48" t="s">
        <v>2</v>
      </c>
      <c r="AA4" s="47" t="s">
        <v>162</v>
      </c>
      <c r="AB4" s="47" t="s">
        <v>3</v>
      </c>
      <c r="AC4" s="47" t="s">
        <v>70</v>
      </c>
      <c r="AD4" s="75" t="s">
        <v>105</v>
      </c>
      <c r="AE4" s="75" t="s">
        <v>106</v>
      </c>
    </row>
    <row r="5" spans="1:31" s="3" customFormat="1" x14ac:dyDescent="0.25">
      <c r="A5" s="2"/>
      <c r="B5" s="69" t="s">
        <v>42</v>
      </c>
      <c r="C5" s="22" t="s">
        <v>7</v>
      </c>
      <c r="D5" s="29" t="s">
        <v>8</v>
      </c>
      <c r="E5" s="22" t="s">
        <v>13</v>
      </c>
      <c r="F5" s="70" t="s">
        <v>10</v>
      </c>
      <c r="G5" s="33"/>
      <c r="H5" s="33"/>
      <c r="I5" s="34"/>
      <c r="J5" s="34"/>
      <c r="K5" s="34"/>
      <c r="L5" s="32"/>
      <c r="M5" s="23"/>
      <c r="N5" s="23"/>
      <c r="O5" s="24"/>
      <c r="P5" s="24"/>
      <c r="Q5" s="24"/>
      <c r="R5" s="32">
        <v>160</v>
      </c>
      <c r="S5" s="23"/>
      <c r="T5" s="23"/>
      <c r="U5" s="24"/>
      <c r="V5" s="24"/>
      <c r="W5" s="25"/>
      <c r="X5" s="32"/>
      <c r="Y5" s="23"/>
      <c r="Z5" s="23"/>
      <c r="AA5" s="24"/>
      <c r="AB5" s="24"/>
      <c r="AC5" s="25"/>
    </row>
    <row r="6" spans="1:31" s="3" customFormat="1" x14ac:dyDescent="0.25">
      <c r="A6" s="2"/>
      <c r="B6" s="69" t="s">
        <v>42</v>
      </c>
      <c r="C6" s="22" t="s">
        <v>5</v>
      </c>
      <c r="D6" s="29">
        <v>2015</v>
      </c>
      <c r="E6" s="22" t="s">
        <v>13</v>
      </c>
      <c r="F6" s="72" t="s">
        <v>11</v>
      </c>
      <c r="G6" s="35">
        <v>66246</v>
      </c>
      <c r="H6" s="35">
        <v>1013</v>
      </c>
      <c r="I6" s="36">
        <v>0</v>
      </c>
      <c r="J6" s="36">
        <v>554</v>
      </c>
      <c r="K6" s="36"/>
      <c r="L6" s="32"/>
      <c r="M6" s="23"/>
      <c r="N6" s="23"/>
      <c r="O6" s="24"/>
      <c r="P6" s="24"/>
      <c r="Q6" s="24"/>
      <c r="R6" s="32">
        <f t="shared" ref="R6:R16" si="0">1000*(1-EXP(-5*H6/(G6+H6/2)))</f>
        <v>73.070073498962216</v>
      </c>
      <c r="S6" s="23">
        <f>1000*(1-EXP((-5)*(U6-(1.96*V6))))</f>
        <v>68.745353652221681</v>
      </c>
      <c r="T6" s="23">
        <f t="shared" ref="T6:T16" si="1">1000*(1-EXP((-5)*(U6+(1.96*V6))))</f>
        <v>77.374709470872105</v>
      </c>
      <c r="U6" s="24">
        <f t="shared" ref="U6:U16" si="2">(H6)/(G6+(H6)/2)</f>
        <v>1.5175461593198757E-2</v>
      </c>
      <c r="V6" s="24">
        <f t="shared" ref="V6:V16" si="3">SQRT(U6*(1-U6)/(G6-1))</f>
        <v>4.7497837060418713E-4</v>
      </c>
      <c r="W6" s="27">
        <f t="shared" ref="W6:W16" si="4">+J6/H6</f>
        <v>0.54689042448173741</v>
      </c>
      <c r="X6" s="32"/>
      <c r="Y6" s="23"/>
      <c r="Z6" s="23"/>
      <c r="AA6" s="24"/>
      <c r="AB6" s="24"/>
      <c r="AC6" s="27"/>
      <c r="AD6" s="6">
        <f>R6/R5-1</f>
        <v>-0.54331204063148619</v>
      </c>
      <c r="AE6" s="74">
        <f>R5-R6</f>
        <v>86.929926501037784</v>
      </c>
    </row>
    <row r="7" spans="1:31" x14ac:dyDescent="0.25">
      <c r="B7" s="69" t="s">
        <v>42</v>
      </c>
      <c r="C7" s="28" t="s">
        <v>14</v>
      </c>
      <c r="D7" s="30" t="s">
        <v>15</v>
      </c>
      <c r="E7" s="22" t="s">
        <v>16</v>
      </c>
      <c r="F7" s="70" t="s">
        <v>10</v>
      </c>
      <c r="G7" s="37">
        <v>67495</v>
      </c>
      <c r="H7" s="37">
        <v>2664</v>
      </c>
      <c r="I7" s="37">
        <v>383</v>
      </c>
      <c r="J7" s="37">
        <v>1042</v>
      </c>
      <c r="K7" s="37">
        <v>174</v>
      </c>
      <c r="L7" s="32">
        <f>1000*(1-EXP(-5*(H7-I7)/(G7+(H7-I7)/2)))</f>
        <v>153.09576439741213</v>
      </c>
      <c r="M7" s="23">
        <f>1000*(1-EXP((-5)*(O7-(1.96*P7))))</f>
        <v>147.35002538921094</v>
      </c>
      <c r="N7" s="23">
        <f t="shared" ref="N7:N16" si="5">1000*(1-EXP((-5)*(O7+(1.96*P7))))</f>
        <v>158.80278468429344</v>
      </c>
      <c r="O7" s="24">
        <f t="shared" ref="O7:O16" si="6">(H7-I7)/(G7+(H7-I7)/2)</f>
        <v>3.3233530753035964E-2</v>
      </c>
      <c r="P7" s="24">
        <f>SQRT(O7*(1-O7)/(G7-1))</f>
        <v>6.8994813929993662E-4</v>
      </c>
      <c r="Q7" s="27">
        <f t="shared" ref="Q7:Q16" si="7">J7/(H7-I7)</f>
        <v>0.45681718544498029</v>
      </c>
      <c r="R7" s="32">
        <f t="shared" si="0"/>
        <v>175.95381624649775</v>
      </c>
      <c r="S7" s="23">
        <f>1000*(1-EXP((-5)*(U7-(1.96*V7))))</f>
        <v>169.93595886333347</v>
      </c>
      <c r="T7" s="23">
        <f t="shared" si="1"/>
        <v>181.9280449387546</v>
      </c>
      <c r="U7" s="24">
        <f t="shared" si="2"/>
        <v>3.8705740479753586E-2</v>
      </c>
      <c r="V7" s="24">
        <f t="shared" si="3"/>
        <v>7.4247747211563062E-4</v>
      </c>
      <c r="W7" s="27">
        <f t="shared" si="4"/>
        <v>0.39114114114114112</v>
      </c>
      <c r="X7" s="32">
        <f t="shared" ref="X7:X22" si="8">1000*(1-EXP(-5*K7/(G7+K7/2)))</f>
        <v>12.790744406472875</v>
      </c>
      <c r="Y7" s="23">
        <f t="shared" ref="Y7:Y22" si="9">1000*(1-EXP((-5)*(AA7-(1.96*AB7))))</f>
        <v>10.901808699108727</v>
      </c>
      <c r="Z7" s="23">
        <f t="shared" ref="Z7:Z22" si="10">1000*(1-EXP((-5)*(AA7+(1.96*AB7))))</f>
        <v>14.676072708487364</v>
      </c>
      <c r="AA7" s="24">
        <f t="shared" ref="AA7:AA22" si="11">(K7)/(G7+(K7)/2)</f>
        <v>2.5746500547483057E-3</v>
      </c>
      <c r="AB7" s="24">
        <f t="shared" ref="AB7:AB22" si="12">SQRT(AA7*(1-AA7)/(G7-1))</f>
        <v>1.950593269937683E-4</v>
      </c>
      <c r="AC7" s="27">
        <f>+K7/H7</f>
        <v>6.5315315315315314E-2</v>
      </c>
    </row>
    <row r="8" spans="1:31" x14ac:dyDescent="0.25">
      <c r="B8" s="69" t="s">
        <v>42</v>
      </c>
      <c r="C8" s="28" t="s">
        <v>14</v>
      </c>
      <c r="D8" s="30" t="s">
        <v>15</v>
      </c>
      <c r="E8" s="22" t="s">
        <v>12</v>
      </c>
      <c r="F8" s="70" t="s">
        <v>10</v>
      </c>
      <c r="G8" s="37">
        <v>9843</v>
      </c>
      <c r="H8" s="37">
        <v>392</v>
      </c>
      <c r="I8" s="37">
        <v>32</v>
      </c>
      <c r="J8" s="37">
        <v>196</v>
      </c>
      <c r="K8" s="37">
        <v>26</v>
      </c>
      <c r="L8" s="32">
        <f t="shared" ref="L8:L16" si="13">1000*(1-EXP(-5*(H8-I8)/(G8+(H8-I8)/2)))</f>
        <v>164.38470897774693</v>
      </c>
      <c r="M8" s="23">
        <f t="shared" ref="M8" si="14">1000*(1-EXP((-5)*(O8-(1.96*P8))))</f>
        <v>148.882342148291</v>
      </c>
      <c r="N8" s="23">
        <f t="shared" ref="N8" si="15">1000*(1-EXP((-5)*(O8+(1.96*P8))))</f>
        <v>179.60471369768959</v>
      </c>
      <c r="O8" s="24">
        <f t="shared" si="6"/>
        <v>3.5917390002993113E-2</v>
      </c>
      <c r="P8" s="24">
        <f t="shared" ref="P8:P16" si="16">SQRT(O8*(1-O8)/(G8-1))</f>
        <v>1.8757192239318861E-3</v>
      </c>
      <c r="Q8" s="27">
        <f t="shared" si="7"/>
        <v>0.5444444444444444</v>
      </c>
      <c r="R8" s="32">
        <f t="shared" si="0"/>
        <v>177.36162184750924</v>
      </c>
      <c r="S8" s="23">
        <f t="shared" ref="S8" si="17">1000*(1-EXP((-5)*(U8-(1.96*V8))))</f>
        <v>161.46869577714941</v>
      </c>
      <c r="T8" s="23">
        <f t="shared" ref="T8" si="18">1000*(1-EXP((-5)*(U8+(1.96*V8))))</f>
        <v>192.95332469840687</v>
      </c>
      <c r="U8" s="24">
        <f t="shared" si="2"/>
        <v>3.9047713915728657E-2</v>
      </c>
      <c r="V8" s="24">
        <f t="shared" si="3"/>
        <v>1.952571914489244E-3</v>
      </c>
      <c r="W8" s="27">
        <f t="shared" si="4"/>
        <v>0.5</v>
      </c>
      <c r="X8" s="32">
        <f t="shared" si="8"/>
        <v>13.10332906542866</v>
      </c>
      <c r="Y8" s="23">
        <f t="shared" si="9"/>
        <v>8.0900768141392021</v>
      </c>
      <c r="Z8" s="23">
        <f t="shared" si="10"/>
        <v>18.091243634789866</v>
      </c>
      <c r="AA8" s="24">
        <f t="shared" si="11"/>
        <v>2.637987012987013E-3</v>
      </c>
      <c r="AB8" s="24">
        <f t="shared" si="12"/>
        <v>5.1703632701502987E-4</v>
      </c>
      <c r="AC8" s="27">
        <f>+K8/H8</f>
        <v>6.6326530612244902E-2</v>
      </c>
      <c r="AD8" s="6"/>
      <c r="AE8" s="74"/>
    </row>
    <row r="9" spans="1:31" x14ac:dyDescent="0.25">
      <c r="B9" s="69" t="s">
        <v>42</v>
      </c>
      <c r="C9" s="28" t="s">
        <v>14</v>
      </c>
      <c r="D9" s="31" t="s">
        <v>86</v>
      </c>
      <c r="E9" s="22" t="s">
        <v>12</v>
      </c>
      <c r="F9" s="72" t="s">
        <v>11</v>
      </c>
      <c r="G9" s="37">
        <v>8279</v>
      </c>
      <c r="H9" s="37">
        <v>148</v>
      </c>
      <c r="I9" s="37">
        <v>17</v>
      </c>
      <c r="J9" s="37">
        <v>34</v>
      </c>
      <c r="K9" s="37">
        <v>7</v>
      </c>
      <c r="L9" s="32">
        <f t="shared" si="13"/>
        <v>75.493148311275846</v>
      </c>
      <c r="M9" s="23">
        <f t="shared" ref="M9:M16" si="19">1000*(1-EXP((-5)*(O9-(1.96*P9))))</f>
        <v>63.031264860848538</v>
      </c>
      <c r="N9" s="23">
        <f t="shared" si="5"/>
        <v>87.789286061438105</v>
      </c>
      <c r="O9" s="24">
        <f t="shared" si="6"/>
        <v>1.569896338905866E-2</v>
      </c>
      <c r="P9" s="24">
        <f t="shared" si="16"/>
        <v>1.3662706800265548E-3</v>
      </c>
      <c r="Q9" s="27">
        <f t="shared" si="7"/>
        <v>0.25954198473282442</v>
      </c>
      <c r="R9" s="32">
        <f t="shared" si="0"/>
        <v>84.780109796640744</v>
      </c>
      <c r="S9" s="23">
        <f t="shared" ref="S9:S16" si="20">1000*(1-EXP((-5)*(U9-(1.96*V9))))</f>
        <v>71.682085909156029</v>
      </c>
      <c r="T9" s="23">
        <f t="shared" si="1"/>
        <v>97.693328212688286</v>
      </c>
      <c r="U9" s="24">
        <f t="shared" si="2"/>
        <v>1.7718185083203639E-2</v>
      </c>
      <c r="V9" s="24">
        <f t="shared" si="3"/>
        <v>1.4499898359467884E-3</v>
      </c>
      <c r="W9" s="27">
        <f t="shared" si="4"/>
        <v>0.22972972972972974</v>
      </c>
      <c r="X9" s="32">
        <f t="shared" si="8"/>
        <v>4.2168612080032419</v>
      </c>
      <c r="Y9" s="23">
        <f t="shared" si="9"/>
        <v>1.095150286059221</v>
      </c>
      <c r="Z9" s="23">
        <f t="shared" si="10"/>
        <v>7.3288163668402406</v>
      </c>
      <c r="AA9" s="24">
        <f t="shared" si="11"/>
        <v>8.4515544823422881E-4</v>
      </c>
      <c r="AB9" s="24">
        <f t="shared" si="12"/>
        <v>3.1939049386255867E-4</v>
      </c>
      <c r="AC9" s="27">
        <f t="shared" ref="AC9:AC16" si="21">+K9/H9</f>
        <v>4.72972972972973E-2</v>
      </c>
      <c r="AD9" s="6">
        <f>L9/L8-1</f>
        <v>-0.54075321980528313</v>
      </c>
      <c r="AE9" s="74">
        <f>L8-L9</f>
        <v>88.891560666471079</v>
      </c>
    </row>
    <row r="10" spans="1:31" x14ac:dyDescent="0.25">
      <c r="B10" s="69" t="s">
        <v>42</v>
      </c>
      <c r="C10" s="28" t="s">
        <v>19</v>
      </c>
      <c r="D10" s="31" t="s">
        <v>17</v>
      </c>
      <c r="E10" s="28" t="s">
        <v>20</v>
      </c>
      <c r="F10" s="70" t="s">
        <v>10</v>
      </c>
      <c r="G10" s="37">
        <v>21964</v>
      </c>
      <c r="H10" s="37">
        <v>439</v>
      </c>
      <c r="I10" s="37">
        <v>131</v>
      </c>
      <c r="J10" s="37">
        <v>96</v>
      </c>
      <c r="K10" s="37">
        <v>71</v>
      </c>
      <c r="L10" s="32">
        <f t="shared" si="13"/>
        <v>67.257911208375205</v>
      </c>
      <c r="M10" s="23">
        <f t="shared" si="19"/>
        <v>60.002151599902078</v>
      </c>
      <c r="N10" s="23">
        <f t="shared" si="5"/>
        <v>74.457664255146554</v>
      </c>
      <c r="O10" s="24">
        <f t="shared" si="6"/>
        <v>1.3925309702504747E-2</v>
      </c>
      <c r="P10" s="24">
        <f t="shared" si="16"/>
        <v>7.9069957711741393E-4</v>
      </c>
      <c r="Q10" s="27">
        <f t="shared" si="7"/>
        <v>0.31168831168831168</v>
      </c>
      <c r="R10" s="32">
        <f t="shared" si="0"/>
        <v>94.209663033847917</v>
      </c>
      <c r="S10" s="23">
        <f t="shared" si="20"/>
        <v>85.828847478701121</v>
      </c>
      <c r="T10" s="23">
        <f t="shared" si="1"/>
        <v>102.51364607335944</v>
      </c>
      <c r="U10" s="24">
        <f t="shared" si="2"/>
        <v>1.9789483174431449E-2</v>
      </c>
      <c r="V10" s="24">
        <f t="shared" si="3"/>
        <v>9.3979055119368631E-4</v>
      </c>
      <c r="W10" s="27">
        <f t="shared" si="4"/>
        <v>0.21867881548974943</v>
      </c>
      <c r="X10" s="32">
        <f t="shared" si="8"/>
        <v>16.0072308485788</v>
      </c>
      <c r="Y10" s="23">
        <f t="shared" si="9"/>
        <v>12.309735246544328</v>
      </c>
      <c r="Z10" s="23">
        <f t="shared" si="10"/>
        <v>19.690884587212576</v>
      </c>
      <c r="AA10" s="24">
        <f t="shared" si="11"/>
        <v>3.2273460760471827E-3</v>
      </c>
      <c r="AB10" s="24">
        <f t="shared" si="12"/>
        <v>3.8271456962665653E-4</v>
      </c>
      <c r="AC10" s="27">
        <f t="shared" si="21"/>
        <v>0.16173120728929385</v>
      </c>
    </row>
    <row r="11" spans="1:31" x14ac:dyDescent="0.25">
      <c r="B11" s="69" t="s">
        <v>42</v>
      </c>
      <c r="C11" s="28" t="s">
        <v>19</v>
      </c>
      <c r="D11" s="31" t="s">
        <v>17</v>
      </c>
      <c r="E11" s="28" t="s">
        <v>108</v>
      </c>
      <c r="F11" s="70" t="s">
        <v>10</v>
      </c>
      <c r="G11" s="37">
        <v>5845</v>
      </c>
      <c r="H11" s="37">
        <v>108</v>
      </c>
      <c r="I11" s="37">
        <v>27</v>
      </c>
      <c r="J11" s="37">
        <v>18</v>
      </c>
      <c r="K11" s="37">
        <v>25</v>
      </c>
      <c r="L11" s="32">
        <f t="shared" ref="L11" si="22">1000*(1-EXP(-5*(H11-I11)/(G11+(H11-I11)/2)))</f>
        <v>66.498944160208296</v>
      </c>
      <c r="M11" s="23">
        <f t="shared" ref="M11" si="23">1000*(1-EXP((-5)*(O11-(1.96*P11))))</f>
        <v>52.452237156301763</v>
      </c>
      <c r="N11" s="23">
        <f t="shared" ref="N11" si="24">1000*(1-EXP((-5)*(O11+(1.96*P11))))</f>
        <v>80.337418940483857</v>
      </c>
      <c r="O11" s="24">
        <f t="shared" ref="O11" si="25">(H11-I11)/(G11+(H11-I11)/2)</f>
        <v>1.3762636989210772E-2</v>
      </c>
      <c r="P11" s="24">
        <f t="shared" ref="P11" si="26">SQRT(O11*(1-O11)/(G11-1))</f>
        <v>1.5240052024192777E-3</v>
      </c>
      <c r="Q11" s="27">
        <f t="shared" ref="Q11" si="27">J11/(H11-I11)</f>
        <v>0.22222222222222221</v>
      </c>
      <c r="R11" s="32">
        <f t="shared" ref="R11" si="28">1000*(1-EXP(-5*H11/(G11+H11/2)))</f>
        <v>87.476042560780016</v>
      </c>
      <c r="S11" s="23">
        <f t="shared" ref="S11" si="29">1000*(1-EXP((-5)*(U11-(1.96*V11))))</f>
        <v>71.657633434040406</v>
      </c>
      <c r="T11" s="23">
        <f t="shared" ref="T11" si="30">1000*(1-EXP((-5)*(U11+(1.96*V11))))</f>
        <v>103.02491527906443</v>
      </c>
      <c r="U11" s="24">
        <f t="shared" ref="U11" si="31">(H11)/(G11+(H11)/2)</f>
        <v>1.83081878284455E-2</v>
      </c>
      <c r="V11" s="24">
        <f t="shared" ref="V11" si="32">SQRT(U11*(1-U11)/(G11-1))</f>
        <v>1.7536994283388959E-3</v>
      </c>
      <c r="W11" s="27">
        <f t="shared" ref="W11" si="33">+J11/H11</f>
        <v>0.16666666666666666</v>
      </c>
      <c r="X11" s="32">
        <f t="shared" ref="X11" si="34">1000*(1-EXP(-5*K11/(G11+K11/2)))</f>
        <v>21.114072046906628</v>
      </c>
      <c r="Y11" s="23">
        <f t="shared" ref="Y11" si="35">1000*(1-EXP((-5)*(AA11-(1.96*AB11))))</f>
        <v>12.899137167219799</v>
      </c>
      <c r="Z11" s="23">
        <f t="shared" ref="Z11" si="36">1000*(1-EXP((-5)*(AA11+(1.96*AB11))))</f>
        <v>29.260639895808183</v>
      </c>
      <c r="AA11" s="24">
        <f t="shared" ref="AA11" si="37">(K11)/(G11+(K11)/2)</f>
        <v>4.268032437046522E-3</v>
      </c>
      <c r="AB11" s="24">
        <f t="shared" ref="AB11" si="38">SQRT(AA11*(1-AA11)/(G11-1))</f>
        <v>8.5276619748360307E-4</v>
      </c>
      <c r="AC11" s="27">
        <f t="shared" ref="AC11" si="39">+K11/H11</f>
        <v>0.23148148148148148</v>
      </c>
    </row>
    <row r="12" spans="1:31" x14ac:dyDescent="0.25">
      <c r="B12" s="69" t="s">
        <v>42</v>
      </c>
      <c r="C12" s="26" t="s">
        <v>19</v>
      </c>
      <c r="D12" s="30" t="s">
        <v>107</v>
      </c>
      <c r="E12" s="28" t="s">
        <v>108</v>
      </c>
      <c r="F12" s="72" t="s">
        <v>11</v>
      </c>
      <c r="G12" s="37">
        <v>5097</v>
      </c>
      <c r="H12" s="37">
        <v>76</v>
      </c>
      <c r="I12" s="37">
        <v>18</v>
      </c>
      <c r="J12" s="37">
        <v>28</v>
      </c>
      <c r="K12" s="37">
        <v>15</v>
      </c>
      <c r="L12" s="32">
        <f>1000*(1-EXP(-5*(H12-I12)/(G12+(H12-I12)/2)))</f>
        <v>55.003756813760241</v>
      </c>
      <c r="M12" s="23">
        <f t="shared" si="19"/>
        <v>41.182360254663152</v>
      </c>
      <c r="N12" s="23">
        <f t="shared" si="5"/>
        <v>68.625917360788819</v>
      </c>
      <c r="O12" s="24">
        <f t="shared" si="6"/>
        <v>1.131486539211861E-2</v>
      </c>
      <c r="P12" s="24">
        <f t="shared" si="16"/>
        <v>1.4816273572795745E-3</v>
      </c>
      <c r="Q12" s="27">
        <f t="shared" si="7"/>
        <v>0.48275862068965519</v>
      </c>
      <c r="R12" s="32">
        <f t="shared" si="0"/>
        <v>71.330114670474458</v>
      </c>
      <c r="S12" s="23">
        <f t="shared" si="20"/>
        <v>55.807099813076519</v>
      </c>
      <c r="T12" s="23">
        <f t="shared" si="1"/>
        <v>86.59792321334136</v>
      </c>
      <c r="U12" s="24">
        <f t="shared" si="2"/>
        <v>1.4800389483933788E-2</v>
      </c>
      <c r="V12" s="24">
        <f t="shared" si="3"/>
        <v>1.6915466455215491E-3</v>
      </c>
      <c r="W12" s="27">
        <f t="shared" si="4"/>
        <v>0.36842105263157893</v>
      </c>
      <c r="X12" s="32">
        <f t="shared" si="8"/>
        <v>14.585503813155597</v>
      </c>
      <c r="Y12" s="23">
        <f t="shared" si="9"/>
        <v>7.2357144659720429</v>
      </c>
      <c r="Z12" s="23">
        <f t="shared" si="10"/>
        <v>21.880880039082506</v>
      </c>
      <c r="AA12" s="24">
        <f t="shared" si="11"/>
        <v>2.9385836027034967E-3</v>
      </c>
      <c r="AB12" s="24">
        <f t="shared" si="12"/>
        <v>7.5825497956376483E-4</v>
      </c>
      <c r="AC12" s="27">
        <f t="shared" si="21"/>
        <v>0.19736842105263158</v>
      </c>
      <c r="AD12" s="6">
        <f>L12/L10-1</f>
        <v>-0.1821964758413287</v>
      </c>
      <c r="AE12" s="74">
        <f>L10-L12</f>
        <v>12.254154394614964</v>
      </c>
    </row>
    <row r="13" spans="1:31" x14ac:dyDescent="0.25">
      <c r="B13" s="69" t="s">
        <v>42</v>
      </c>
      <c r="C13" s="26" t="s">
        <v>76</v>
      </c>
      <c r="D13" s="30">
        <v>2019</v>
      </c>
      <c r="E13" s="31">
        <v>1</v>
      </c>
      <c r="F13" s="73" t="s">
        <v>81</v>
      </c>
      <c r="G13" s="37">
        <v>1308</v>
      </c>
      <c r="H13" s="37">
        <v>29</v>
      </c>
      <c r="I13" s="37">
        <v>14</v>
      </c>
      <c r="J13" s="37">
        <v>3</v>
      </c>
      <c r="K13" s="37">
        <v>4</v>
      </c>
      <c r="L13" s="32">
        <f>1000*(1-EXP(-5*(H13-I13)/(G13+(H13-I13)/2)))</f>
        <v>55.417778375324247</v>
      </c>
      <c r="M13" s="23">
        <f t="shared" ref="M13:M14" si="40">1000*(1-EXP((-5)*(O13-(1.96*P13))))</f>
        <v>27.837248972858553</v>
      </c>
      <c r="N13" s="23">
        <f t="shared" ref="N13:N14" si="41">1000*(1-EXP((-5)*(O13+(1.96*P13))))</f>
        <v>82.215840437504966</v>
      </c>
      <c r="O13" s="24">
        <f t="shared" ref="O13:O14" si="42">(H13-I13)/(G13+(H13-I13)/2)</f>
        <v>1.1402508551881414E-2</v>
      </c>
      <c r="P13" s="24">
        <f t="shared" ref="P13:P14" si="43">SQRT(O13*(1-O13)/(G13-1))</f>
        <v>2.9367850560861396E-3</v>
      </c>
      <c r="Q13" s="27">
        <f t="shared" ref="Q13:Q14" si="44">J13/(H13-I13)</f>
        <v>0.2</v>
      </c>
      <c r="R13" s="32">
        <f t="shared" ref="R13:R14" si="45">1000*(1-EXP(-5*H13/(G13+H13/2)))</f>
        <v>103.84405174296607</v>
      </c>
      <c r="S13" s="23">
        <f t="shared" ref="S13:S14" si="46">1000*(1-EXP((-5)*(U13-(1.96*V13))))</f>
        <v>67.552347719675893</v>
      </c>
      <c r="T13" s="23">
        <f t="shared" ref="T13:T14" si="47">1000*(1-EXP((-5)*(U13+(1.96*V13))))</f>
        <v>138.72324989775731</v>
      </c>
      <c r="U13" s="24">
        <f t="shared" ref="U13:U14" si="48">(H13)/(G13+(H13)/2)</f>
        <v>2.1928166351606805E-2</v>
      </c>
      <c r="V13" s="24">
        <f t="shared" ref="V13:V14" si="49">SQRT(U13*(1-U13)/(G13-1))</f>
        <v>4.0508740564621773E-3</v>
      </c>
      <c r="W13" s="27">
        <f t="shared" ref="W13:W14" si="50">+J13/H13</f>
        <v>0.10344827586206896</v>
      </c>
      <c r="X13" s="32">
        <f t="shared" ref="X13:X14" si="51">1000*(1-EXP(-5*K13/(G13+K13/2)))</f>
        <v>15.151223086509624</v>
      </c>
      <c r="Y13" s="23">
        <f t="shared" ref="Y13:Y14" si="52">1000*(1-EXP((-5)*(AA13-(1.96*AB13))))</f>
        <v>0.31101996065696635</v>
      </c>
      <c r="Z13" s="23">
        <f t="shared" ref="Z13:Z14" si="53">1000*(1-EXP((-5)*(AA13+(1.96*AB13))))</f>
        <v>29.771126065802676</v>
      </c>
      <c r="AA13" s="24">
        <f t="shared" ref="AA13:AA14" si="54">(K13)/(G13+(K13)/2)</f>
        <v>3.0534351145038168E-3</v>
      </c>
      <c r="AB13" s="24">
        <f t="shared" ref="AB13:AB14" si="55">SQRT(AA13*(1-AA13)/(G13-1))</f>
        <v>1.5261333913390933E-3</v>
      </c>
      <c r="AC13" s="27">
        <f t="shared" ref="AC13:AC14" si="56">+K13/H13</f>
        <v>0.13793103448275862</v>
      </c>
    </row>
    <row r="14" spans="1:31" x14ac:dyDescent="0.25">
      <c r="B14" s="69" t="s">
        <v>42</v>
      </c>
      <c r="C14" s="26" t="s">
        <v>76</v>
      </c>
      <c r="D14" s="30">
        <v>2022</v>
      </c>
      <c r="E14" s="31">
        <v>1</v>
      </c>
      <c r="F14" s="73" t="s">
        <v>81</v>
      </c>
      <c r="G14" s="37">
        <v>1258</v>
      </c>
      <c r="H14" s="37">
        <v>21</v>
      </c>
      <c r="I14" s="37">
        <v>3</v>
      </c>
      <c r="J14" s="37">
        <v>7</v>
      </c>
      <c r="K14" s="37">
        <v>1</v>
      </c>
      <c r="L14" s="32">
        <f t="shared" ref="L14" si="57">1000*(1-EXP(-5*(H14-I14)/(G14+(H14-I14)/2)))</f>
        <v>68.569719696956795</v>
      </c>
      <c r="M14" s="23">
        <f t="shared" si="40"/>
        <v>37.597509221394823</v>
      </c>
      <c r="N14" s="23">
        <f t="shared" si="41"/>
        <v>98.545176910828431</v>
      </c>
      <c r="O14" s="24">
        <f t="shared" si="42"/>
        <v>1.4206787687450671E-2</v>
      </c>
      <c r="P14" s="24">
        <f t="shared" si="43"/>
        <v>3.33789920439351E-3</v>
      </c>
      <c r="Q14" s="27">
        <f t="shared" si="44"/>
        <v>0.3888888888888889</v>
      </c>
      <c r="R14" s="32">
        <f t="shared" si="45"/>
        <v>79.441686974324853</v>
      </c>
      <c r="S14" s="23">
        <f t="shared" si="46"/>
        <v>46.394815367002074</v>
      </c>
      <c r="T14" s="23">
        <f t="shared" si="47"/>
        <v>111.34333019926301</v>
      </c>
      <c r="U14" s="24">
        <f t="shared" si="48"/>
        <v>1.6554986204178165E-2</v>
      </c>
      <c r="V14" s="24">
        <f t="shared" si="49"/>
        <v>3.5989168612722564E-3</v>
      </c>
      <c r="W14" s="27">
        <f t="shared" si="50"/>
        <v>0.33333333333333331</v>
      </c>
      <c r="X14" s="32">
        <f t="shared" si="51"/>
        <v>3.9651018526034587</v>
      </c>
      <c r="Y14" s="23">
        <f t="shared" si="52"/>
        <v>-3.8229016634789836</v>
      </c>
      <c r="Z14" s="23">
        <f t="shared" si="53"/>
        <v>11.692683357327095</v>
      </c>
      <c r="AA14" s="24">
        <f t="shared" si="54"/>
        <v>7.9459674215335717E-4</v>
      </c>
      <c r="AB14" s="24">
        <f t="shared" si="55"/>
        <v>7.9475476079708966E-4</v>
      </c>
      <c r="AC14" s="27">
        <f t="shared" si="56"/>
        <v>4.7619047619047616E-2</v>
      </c>
    </row>
    <row r="15" spans="1:31" x14ac:dyDescent="0.25">
      <c r="B15" s="69" t="s">
        <v>42</v>
      </c>
      <c r="C15" s="28" t="s">
        <v>21</v>
      </c>
      <c r="D15" s="31">
        <v>2022</v>
      </c>
      <c r="E15" s="28" t="s">
        <v>23</v>
      </c>
      <c r="F15" s="70" t="s">
        <v>10</v>
      </c>
      <c r="G15" s="37">
        <v>6798</v>
      </c>
      <c r="H15" s="37">
        <v>253</v>
      </c>
      <c r="I15" s="37">
        <v>30</v>
      </c>
      <c r="J15" s="37">
        <v>96</v>
      </c>
      <c r="K15" s="37">
        <v>50</v>
      </c>
      <c r="L15" s="32">
        <f t="shared" si="13"/>
        <v>149.02457109259703</v>
      </c>
      <c r="M15" s="23">
        <f t="shared" si="19"/>
        <v>130.95868013400181</v>
      </c>
      <c r="N15" s="23">
        <f t="shared" si="5"/>
        <v>166.71490290496183</v>
      </c>
      <c r="O15" s="24">
        <f t="shared" si="6"/>
        <v>3.2274404804978653E-2</v>
      </c>
      <c r="P15" s="24">
        <f t="shared" si="16"/>
        <v>2.1436140745233925E-3</v>
      </c>
      <c r="Q15" s="27">
        <f t="shared" si="7"/>
        <v>0.43049327354260092</v>
      </c>
      <c r="R15" s="32">
        <f t="shared" si="0"/>
        <v>166.96920638466716</v>
      </c>
      <c r="S15" s="23">
        <f t="shared" si="20"/>
        <v>148.18192320606582</v>
      </c>
      <c r="T15" s="23">
        <f t="shared" si="1"/>
        <v>185.34212642770143</v>
      </c>
      <c r="U15" s="24">
        <f t="shared" si="2"/>
        <v>3.6536934074662429E-2</v>
      </c>
      <c r="V15" s="24">
        <f t="shared" si="3"/>
        <v>2.2757520950058524E-3</v>
      </c>
      <c r="W15" s="27">
        <f t="shared" si="4"/>
        <v>0.37944664031620551</v>
      </c>
      <c r="X15" s="32">
        <f t="shared" si="8"/>
        <v>35.977624800547446</v>
      </c>
      <c r="Y15" s="23">
        <f t="shared" si="9"/>
        <v>26.154309137800368</v>
      </c>
      <c r="Z15" s="23">
        <f t="shared" si="10"/>
        <v>45.701851324722156</v>
      </c>
      <c r="AA15" s="24">
        <f t="shared" si="11"/>
        <v>7.328154770628756E-3</v>
      </c>
      <c r="AB15" s="24">
        <f t="shared" si="12"/>
        <v>1.0345262948532287E-3</v>
      </c>
      <c r="AC15" s="27">
        <f t="shared" si="21"/>
        <v>0.19762845849802371</v>
      </c>
    </row>
    <row r="16" spans="1:31" x14ac:dyDescent="0.25">
      <c r="B16" s="69" t="s">
        <v>42</v>
      </c>
      <c r="C16" s="28" t="s">
        <v>22</v>
      </c>
      <c r="D16" s="31">
        <v>2023</v>
      </c>
      <c r="E16" s="28" t="s">
        <v>24</v>
      </c>
      <c r="F16" s="70" t="s">
        <v>10</v>
      </c>
      <c r="G16" s="37">
        <v>16257</v>
      </c>
      <c r="H16" s="37">
        <v>661</v>
      </c>
      <c r="I16" s="37">
        <v>134</v>
      </c>
      <c r="J16" s="37">
        <v>272</v>
      </c>
      <c r="K16" s="37">
        <v>124</v>
      </c>
      <c r="L16" s="32">
        <f t="shared" si="13"/>
        <v>147.42901336887314</v>
      </c>
      <c r="M16" s="23">
        <f t="shared" si="19"/>
        <v>135.83483272428231</v>
      </c>
      <c r="N16" s="23">
        <f t="shared" si="5"/>
        <v>158.86763923075586</v>
      </c>
      <c r="O16" s="24">
        <f t="shared" si="6"/>
        <v>3.1899760903120362E-2</v>
      </c>
      <c r="P16" s="24">
        <f t="shared" si="16"/>
        <v>1.3783103975549655E-3</v>
      </c>
      <c r="Q16" s="27">
        <f t="shared" si="7"/>
        <v>0.5161290322580645</v>
      </c>
      <c r="R16" s="32">
        <f t="shared" si="0"/>
        <v>180.65203567865728</v>
      </c>
      <c r="S16" s="23">
        <f t="shared" si="20"/>
        <v>168.24018781502193</v>
      </c>
      <c r="T16" s="23">
        <f t="shared" si="1"/>
        <v>192.87866905472873</v>
      </c>
      <c r="U16" s="24">
        <f t="shared" si="2"/>
        <v>3.9849284099472491E-2</v>
      </c>
      <c r="V16" s="24">
        <f t="shared" si="3"/>
        <v>1.5341687123030336E-3</v>
      </c>
      <c r="W16" s="27">
        <f t="shared" si="4"/>
        <v>0.4114977307110439</v>
      </c>
      <c r="X16" s="32">
        <f t="shared" si="8"/>
        <v>37.279861889741753</v>
      </c>
      <c r="Y16" s="23">
        <f t="shared" si="9"/>
        <v>30.832571282188191</v>
      </c>
      <c r="Z16" s="23">
        <f t="shared" si="10"/>
        <v>43.684262533243313</v>
      </c>
      <c r="AA16" s="24">
        <f t="shared" si="11"/>
        <v>7.5985048103437711E-3</v>
      </c>
      <c r="AB16" s="24">
        <f t="shared" si="12"/>
        <v>6.8108439686032248E-4</v>
      </c>
      <c r="AC16" s="27">
        <f t="shared" si="21"/>
        <v>0.1875945537065053</v>
      </c>
    </row>
    <row r="17" spans="2:29" x14ac:dyDescent="0.25">
      <c r="B17" s="71" t="s">
        <v>43</v>
      </c>
      <c r="C17" s="38" t="s">
        <v>35</v>
      </c>
      <c r="D17" s="31">
        <v>2022</v>
      </c>
      <c r="E17" s="28" t="s">
        <v>29</v>
      </c>
      <c r="F17" s="72" t="s">
        <v>11</v>
      </c>
      <c r="G17" s="37">
        <v>4886</v>
      </c>
      <c r="H17" s="37">
        <v>68</v>
      </c>
      <c r="I17" s="37">
        <v>20</v>
      </c>
      <c r="J17" s="37">
        <v>18</v>
      </c>
      <c r="K17" s="37">
        <v>17</v>
      </c>
      <c r="L17" s="32">
        <f t="shared" ref="L17:L22" si="58">1000*(1-EXP(-5*(H17-I17)/(G17+(H17-I17)/2)))</f>
        <v>47.704446549794</v>
      </c>
      <c r="M17" s="23">
        <f t="shared" ref="M17:M22" si="59">1000*(1-EXP((-5)*(O17-(1.96*P17))))</f>
        <v>34.475926161798398</v>
      </c>
      <c r="N17" s="23">
        <f t="shared" ref="N17:N22" si="60">1000*(1-EXP((-5)*(O17+(1.96*P17))))</f>
        <v>60.751724691845311</v>
      </c>
      <c r="O17" s="24">
        <f t="shared" ref="O17:O22" si="61">(H17-I17)/(G17+(H17-I17)/2)</f>
        <v>9.775967413441956E-3</v>
      </c>
      <c r="P17" s="24">
        <f t="shared" ref="P17:P22" si="62">SQRT(O17*(1-O17)/(G17-1))</f>
        <v>1.4077136434879373E-3</v>
      </c>
      <c r="Q17" s="27">
        <f t="shared" ref="Q17:Q22" si="63">J17/(H17-I17)</f>
        <v>0.375</v>
      </c>
      <c r="R17" s="32">
        <f t="shared" ref="R17:R22" si="64">1000*(1-EXP(-5*H17/(G17+H17/2)))</f>
        <v>66.771958992332685</v>
      </c>
      <c r="S17" s="23">
        <f t="shared" ref="S17:S22" si="65">1000*(1-EXP((-5)*(U17-(1.96*V17))))</f>
        <v>51.36947279033788</v>
      </c>
      <c r="T17" s="23">
        <f t="shared" ref="T17:T22" si="66">1000*(1-EXP((-5)*(U17+(1.96*V17))))</f>
        <v>81.924361969723307</v>
      </c>
      <c r="U17" s="24">
        <f t="shared" ref="U17:U22" si="67">(H17)/(G17+(H17)/2)</f>
        <v>1.3821138211382113E-2</v>
      </c>
      <c r="V17" s="24">
        <f t="shared" ref="V17:V22" si="68">SQRT(U17*(1-U17)/(G17-1))</f>
        <v>1.6703884010686144E-3</v>
      </c>
      <c r="W17" s="27">
        <f t="shared" ref="W17:W22" si="69">+J17/H17</f>
        <v>0.26470588235294118</v>
      </c>
      <c r="X17" s="32">
        <f t="shared" si="8"/>
        <v>17.216504389333753</v>
      </c>
      <c r="Y17" s="23">
        <f>1000*(1-EXP((-5)*(AA17-(1.96*AB17))))</f>
        <v>9.0758574085035839</v>
      </c>
      <c r="Z17" s="23">
        <f t="shared" si="10"/>
        <v>25.290274269871183</v>
      </c>
      <c r="AA17" s="24">
        <f>(K17)/(G17+(K17)/2)</f>
        <v>3.4732863418122381E-3</v>
      </c>
      <c r="AB17" s="24">
        <f t="shared" si="12"/>
        <v>8.4174875527144523E-4</v>
      </c>
      <c r="AC17" s="27">
        <f>+K17/(H17-I17)</f>
        <v>0.35416666666666669</v>
      </c>
    </row>
    <row r="18" spans="2:29" x14ac:dyDescent="0.25">
      <c r="B18" s="71" t="s">
        <v>43</v>
      </c>
      <c r="C18" s="38" t="s">
        <v>35</v>
      </c>
      <c r="D18" s="31">
        <v>2022</v>
      </c>
      <c r="E18" s="28" t="s">
        <v>30</v>
      </c>
      <c r="F18" s="72" t="s">
        <v>11</v>
      </c>
      <c r="G18" s="37">
        <v>2089</v>
      </c>
      <c r="H18" s="37">
        <v>9</v>
      </c>
      <c r="I18" s="37">
        <v>0</v>
      </c>
      <c r="J18" s="37">
        <v>4</v>
      </c>
      <c r="K18" s="37">
        <v>4</v>
      </c>
      <c r="L18" s="32">
        <f t="shared" si="58"/>
        <v>21.265730554877791</v>
      </c>
      <c r="M18" s="23">
        <f t="shared" si="59"/>
        <v>7.435629007408906</v>
      </c>
      <c r="N18" s="23">
        <f t="shared" si="60"/>
        <v>34.90312751370417</v>
      </c>
      <c r="O18" s="24">
        <f t="shared" si="61"/>
        <v>4.2990207786004295E-3</v>
      </c>
      <c r="P18" s="24">
        <f t="shared" si="62"/>
        <v>1.4318053869718753E-3</v>
      </c>
      <c r="Q18" s="27">
        <f t="shared" si="63"/>
        <v>0.44444444444444442</v>
      </c>
      <c r="R18" s="32">
        <f t="shared" si="64"/>
        <v>21.265730554877791</v>
      </c>
      <c r="S18" s="23">
        <f t="shared" si="65"/>
        <v>7.435629007408906</v>
      </c>
      <c r="T18" s="23">
        <f t="shared" si="66"/>
        <v>34.90312751370417</v>
      </c>
      <c r="U18" s="24">
        <f t="shared" si="67"/>
        <v>4.2990207786004295E-3</v>
      </c>
      <c r="V18" s="24">
        <f t="shared" si="68"/>
        <v>1.4318053869718753E-3</v>
      </c>
      <c r="W18" s="27">
        <f t="shared" si="69"/>
        <v>0.44444444444444442</v>
      </c>
      <c r="X18" s="32">
        <f t="shared" si="8"/>
        <v>9.5192043081381286</v>
      </c>
      <c r="Y18" s="23">
        <f t="shared" si="9"/>
        <v>0.19352218497503682</v>
      </c>
      <c r="Z18" s="23">
        <f t="shared" si="10"/>
        <v>18.757901250676667</v>
      </c>
      <c r="AA18" s="24">
        <f t="shared" si="11"/>
        <v>1.9129603060736491E-3</v>
      </c>
      <c r="AB18" s="24">
        <f t="shared" si="12"/>
        <v>9.5625108342438207E-4</v>
      </c>
      <c r="AC18" s="27">
        <f t="shared" ref="AC18:AC34" si="70">+K18/(H18-I18)</f>
        <v>0.44444444444444442</v>
      </c>
    </row>
    <row r="19" spans="2:29" x14ac:dyDescent="0.25">
      <c r="B19" s="71" t="s">
        <v>43</v>
      </c>
      <c r="C19" s="38" t="s">
        <v>35</v>
      </c>
      <c r="D19" s="31">
        <v>2022</v>
      </c>
      <c r="E19" s="28" t="s">
        <v>31</v>
      </c>
      <c r="F19" s="72" t="s">
        <v>11</v>
      </c>
      <c r="G19" s="37">
        <v>3884</v>
      </c>
      <c r="H19" s="37">
        <v>65</v>
      </c>
      <c r="I19" s="37">
        <v>31</v>
      </c>
      <c r="J19" s="37">
        <v>11</v>
      </c>
      <c r="K19" s="37">
        <v>16</v>
      </c>
      <c r="L19" s="32">
        <f t="shared" si="58"/>
        <v>42.642668044353684</v>
      </c>
      <c r="M19" s="23">
        <f t="shared" si="59"/>
        <v>28.545067383506151</v>
      </c>
      <c r="N19" s="23">
        <f t="shared" si="60"/>
        <v>56.535686549385346</v>
      </c>
      <c r="O19" s="24">
        <f t="shared" si="61"/>
        <v>8.7157139195078188E-3</v>
      </c>
      <c r="P19" s="24">
        <f t="shared" si="62"/>
        <v>1.4916498850078785E-3</v>
      </c>
      <c r="Q19" s="27">
        <f t="shared" si="63"/>
        <v>0.3235294117647059</v>
      </c>
      <c r="R19" s="32">
        <f t="shared" si="64"/>
        <v>79.632520602606505</v>
      </c>
      <c r="S19" s="23">
        <f t="shared" si="65"/>
        <v>60.953792619565348</v>
      </c>
      <c r="T19" s="23">
        <f t="shared" si="66"/>
        <v>97.939706827295026</v>
      </c>
      <c r="U19" s="24">
        <f t="shared" si="67"/>
        <v>1.6596450912804799E-2</v>
      </c>
      <c r="V19" s="24">
        <f t="shared" si="68"/>
        <v>2.0501696650268375E-3</v>
      </c>
      <c r="W19" s="27">
        <f t="shared" si="69"/>
        <v>0.16923076923076924</v>
      </c>
      <c r="X19" s="32">
        <f t="shared" si="8"/>
        <v>20.345170919413679</v>
      </c>
      <c r="Y19" s="23">
        <f t="shared" si="9"/>
        <v>10.437274387722795</v>
      </c>
      <c r="Z19" s="23">
        <f t="shared" si="10"/>
        <v>30.15386564090916</v>
      </c>
      <c r="AA19" s="24">
        <f t="shared" si="11"/>
        <v>4.1109969167523125E-3</v>
      </c>
      <c r="AB19" s="24">
        <f t="shared" si="12"/>
        <v>1.0268224342035305E-3</v>
      </c>
      <c r="AC19" s="27">
        <f t="shared" si="70"/>
        <v>0.47058823529411764</v>
      </c>
    </row>
    <row r="20" spans="2:29" x14ac:dyDescent="0.25">
      <c r="B20" s="71" t="s">
        <v>43</v>
      </c>
      <c r="C20" s="38" t="s">
        <v>36</v>
      </c>
      <c r="D20" s="31">
        <v>2022</v>
      </c>
      <c r="E20" s="28" t="s">
        <v>32</v>
      </c>
      <c r="F20" s="72" t="s">
        <v>11</v>
      </c>
      <c r="G20" s="37">
        <v>4503</v>
      </c>
      <c r="H20" s="37">
        <v>62</v>
      </c>
      <c r="I20" s="37">
        <v>18</v>
      </c>
      <c r="J20" s="37">
        <v>8</v>
      </c>
      <c r="K20" s="37">
        <v>30</v>
      </c>
      <c r="L20" s="32">
        <f t="shared" si="58"/>
        <v>47.455814928214714</v>
      </c>
      <c r="M20" s="23">
        <f t="shared" si="59"/>
        <v>33.705278440219757</v>
      </c>
      <c r="N20" s="23">
        <f t="shared" si="60"/>
        <v>61.010678968157265</v>
      </c>
      <c r="O20" s="24">
        <f t="shared" si="61"/>
        <v>9.7237569060773486E-3</v>
      </c>
      <c r="P20" s="24">
        <f t="shared" si="62"/>
        <v>1.4624885725714281E-3</v>
      </c>
      <c r="Q20" s="27">
        <f t="shared" si="63"/>
        <v>0.18181818181818182</v>
      </c>
      <c r="R20" s="32">
        <f t="shared" si="64"/>
        <v>66.087285168442534</v>
      </c>
      <c r="S20" s="23">
        <f t="shared" si="65"/>
        <v>50.110720542203111</v>
      </c>
      <c r="T20" s="23">
        <f t="shared" si="66"/>
        <v>81.795133616095356</v>
      </c>
      <c r="U20" s="24">
        <f t="shared" si="67"/>
        <v>1.3674459638288486E-2</v>
      </c>
      <c r="V20" s="24">
        <f t="shared" si="68"/>
        <v>1.7308621502542816E-3</v>
      </c>
      <c r="W20" s="27">
        <f t="shared" si="69"/>
        <v>0.12903225806451613</v>
      </c>
      <c r="X20" s="32">
        <f t="shared" si="8"/>
        <v>32.655442635191712</v>
      </c>
      <c r="Y20" s="23">
        <f t="shared" si="9"/>
        <v>21.11230878639536</v>
      </c>
      <c r="Z20" s="23">
        <f t="shared" si="10"/>
        <v>44.062458786067069</v>
      </c>
      <c r="AA20" s="24">
        <f t="shared" si="11"/>
        <v>6.6401062416998674E-3</v>
      </c>
      <c r="AB20" s="24">
        <f t="shared" si="12"/>
        <v>1.2104255423253957E-3</v>
      </c>
      <c r="AC20" s="27">
        <f t="shared" si="70"/>
        <v>0.68181818181818177</v>
      </c>
    </row>
    <row r="21" spans="2:29" x14ac:dyDescent="0.25">
      <c r="B21" s="71" t="s">
        <v>43</v>
      </c>
      <c r="C21" s="38" t="s">
        <v>36</v>
      </c>
      <c r="D21" s="31">
        <v>2022</v>
      </c>
      <c r="E21" s="28" t="s">
        <v>33</v>
      </c>
      <c r="F21" s="72" t="s">
        <v>11</v>
      </c>
      <c r="G21" s="37">
        <v>3941</v>
      </c>
      <c r="H21" s="37">
        <v>43</v>
      </c>
      <c r="I21" s="37">
        <v>17</v>
      </c>
      <c r="J21" s="37">
        <v>2</v>
      </c>
      <c r="K21" s="37">
        <v>20</v>
      </c>
      <c r="L21" s="32">
        <f t="shared" si="58"/>
        <v>32.34348846064816</v>
      </c>
      <c r="M21" s="23">
        <f t="shared" si="59"/>
        <v>20.055581105628551</v>
      </c>
      <c r="N21" s="23">
        <f t="shared" si="60"/>
        <v>44.477312926624158</v>
      </c>
      <c r="O21" s="24">
        <f t="shared" si="61"/>
        <v>6.5756196256954984E-3</v>
      </c>
      <c r="P21" s="24">
        <f t="shared" si="62"/>
        <v>1.2876197743542297E-3</v>
      </c>
      <c r="Q21" s="27">
        <f t="shared" si="63"/>
        <v>7.6923076923076927E-2</v>
      </c>
      <c r="R21" s="32">
        <f t="shared" si="64"/>
        <v>52.812938878136762</v>
      </c>
      <c r="S21" s="23">
        <f t="shared" si="65"/>
        <v>37.367110223839653</v>
      </c>
      <c r="T21" s="23">
        <f t="shared" si="66"/>
        <v>68.010933051239959</v>
      </c>
      <c r="U21" s="24">
        <f t="shared" si="67"/>
        <v>1.085173501577287E-2</v>
      </c>
      <c r="V21" s="24">
        <f t="shared" si="68"/>
        <v>1.6505632681796964E-3</v>
      </c>
      <c r="W21" s="27">
        <f t="shared" si="69"/>
        <v>4.6511627906976744E-2</v>
      </c>
      <c r="X21" s="32">
        <f t="shared" si="8"/>
        <v>24.992434072826143</v>
      </c>
      <c r="Y21" s="23">
        <f t="shared" si="9"/>
        <v>14.129337491143868</v>
      </c>
      <c r="Z21" s="23">
        <f t="shared" si="10"/>
        <v>35.735832531995413</v>
      </c>
      <c r="AA21" s="24">
        <f t="shared" si="11"/>
        <v>5.0620096178182741E-3</v>
      </c>
      <c r="AB21" s="24">
        <f t="shared" si="12"/>
        <v>1.1306062427988281E-3</v>
      </c>
      <c r="AC21" s="27">
        <f t="shared" si="70"/>
        <v>0.76923076923076927</v>
      </c>
    </row>
    <row r="22" spans="2:29" x14ac:dyDescent="0.25">
      <c r="B22" s="71" t="s">
        <v>43</v>
      </c>
      <c r="C22" s="38" t="s">
        <v>36</v>
      </c>
      <c r="D22" s="31">
        <v>2023</v>
      </c>
      <c r="E22" s="28" t="s">
        <v>44</v>
      </c>
      <c r="F22" s="72" t="s">
        <v>11</v>
      </c>
      <c r="G22" s="37">
        <v>704</v>
      </c>
      <c r="H22" s="37">
        <v>12</v>
      </c>
      <c r="I22" s="37">
        <v>1</v>
      </c>
      <c r="J22" s="37">
        <v>3</v>
      </c>
      <c r="K22" s="37">
        <v>6</v>
      </c>
      <c r="L22" s="32">
        <f t="shared" si="58"/>
        <v>74.590910061834819</v>
      </c>
      <c r="M22" s="23">
        <f t="shared" si="59"/>
        <v>31.353178268127447</v>
      </c>
      <c r="N22" s="23">
        <f t="shared" si="60"/>
        <v>115.89862834729358</v>
      </c>
      <c r="O22" s="24">
        <f t="shared" si="61"/>
        <v>1.5503875968992248E-2</v>
      </c>
      <c r="P22" s="24">
        <f t="shared" si="62"/>
        <v>4.6596091080400972E-3</v>
      </c>
      <c r="Q22" s="27">
        <f t="shared" si="63"/>
        <v>0.27272727272727271</v>
      </c>
      <c r="R22" s="32">
        <f t="shared" si="64"/>
        <v>81.034816231756793</v>
      </c>
      <c r="S22" s="23">
        <f t="shared" si="65"/>
        <v>36.191853369643589</v>
      </c>
      <c r="T22" s="23">
        <f t="shared" si="66"/>
        <v>123.79137701760268</v>
      </c>
      <c r="U22" s="24">
        <f t="shared" si="67"/>
        <v>1.6901408450704224E-2</v>
      </c>
      <c r="V22" s="24">
        <f t="shared" si="68"/>
        <v>4.8616346996850383E-3</v>
      </c>
      <c r="W22" s="27">
        <f t="shared" si="69"/>
        <v>0.25</v>
      </c>
      <c r="X22" s="32">
        <f t="shared" si="8"/>
        <v>41.545142574664354</v>
      </c>
      <c r="Y22" s="23">
        <f t="shared" si="9"/>
        <v>8.4915649539492044</v>
      </c>
      <c r="Z22" s="23">
        <f t="shared" si="10"/>
        <v>73.496824381978797</v>
      </c>
      <c r="AA22" s="24">
        <f t="shared" si="11"/>
        <v>8.4865629420084864E-3</v>
      </c>
      <c r="AB22" s="24">
        <f t="shared" si="12"/>
        <v>3.459692960221182E-3</v>
      </c>
      <c r="AC22" s="27">
        <f t="shared" si="70"/>
        <v>0.54545454545454541</v>
      </c>
    </row>
    <row r="23" spans="2:29" x14ac:dyDescent="0.25">
      <c r="B23" s="71" t="s">
        <v>43</v>
      </c>
      <c r="C23" s="38" t="s">
        <v>35</v>
      </c>
      <c r="D23" s="31">
        <v>2023</v>
      </c>
      <c r="E23" s="39" t="s">
        <v>98</v>
      </c>
      <c r="F23" s="70" t="s">
        <v>10</v>
      </c>
      <c r="G23" s="37">
        <v>7278</v>
      </c>
      <c r="H23" s="37">
        <v>94</v>
      </c>
      <c r="I23" s="37">
        <v>39</v>
      </c>
      <c r="J23" s="37">
        <v>6</v>
      </c>
      <c r="K23" s="37">
        <v>19</v>
      </c>
      <c r="L23" s="32">
        <f>1000*(1-EXP(-5*(H23-I23)/(G23+(H23-I23)/2)))</f>
        <v>36.94318577790667</v>
      </c>
      <c r="M23" s="23">
        <f t="shared" ref="M23:M24" si="71">1000*(1-EXP((-5)*(O23-(1.96*P23))))</f>
        <v>27.332036760167043</v>
      </c>
      <c r="N23" s="23">
        <f t="shared" ref="N23:N24" si="72">1000*(1-EXP((-5)*(O23+(1.96*P23))))</f>
        <v>46.45936488923175</v>
      </c>
      <c r="O23" s="24">
        <f t="shared" ref="O23:O24" si="73">(H23-I23)/(G23+(H23-I23)/2)</f>
        <v>7.5285743617822184E-3</v>
      </c>
      <c r="P23" s="24">
        <f t="shared" ref="P23:P24" si="74">SQRT(O23*(1-O23)/(G23-1))</f>
        <v>1.0133026784944195E-3</v>
      </c>
      <c r="Q23" s="27">
        <f t="shared" ref="Q23:Q24" si="75">J23/(H23-I23)</f>
        <v>0.10909090909090909</v>
      </c>
      <c r="R23" s="32">
        <f t="shared" ref="R23:R24" si="76">1000*(1-EXP(-5*H23/(G23+H23/2)))</f>
        <v>62.148654230999242</v>
      </c>
      <c r="S23" s="23">
        <f t="shared" ref="S23:S24" si="77">1000*(1-EXP((-5)*(U23-(1.96*V23))))</f>
        <v>49.943306523296592</v>
      </c>
      <c r="T23" s="23">
        <f t="shared" ref="T23:T24" si="78">1000*(1-EXP((-5)*(U23+(1.96*V23))))</f>
        <v>74.19720023024712</v>
      </c>
      <c r="U23" s="24">
        <f t="shared" ref="U23:U24" si="79">(H23)/(G23+(H23)/2)</f>
        <v>1.2832764505119453E-2</v>
      </c>
      <c r="V23" s="24">
        <f t="shared" ref="V23:V24" si="80">SQRT(U23*(1-U23)/(G23-1))</f>
        <v>1.3194085409513453E-3</v>
      </c>
      <c r="W23" s="27">
        <f t="shared" ref="W23:W24" si="81">+J23/H23</f>
        <v>6.3829787234042548E-2</v>
      </c>
      <c r="X23" s="32">
        <f t="shared" ref="X23:X24" si="82">1000*(1-EXP(-5*K23/(G23+K23/2)))</f>
        <v>12.951419685559351</v>
      </c>
      <c r="Y23" s="23">
        <f t="shared" ref="Y23:Y24" si="83">1000*(1-EXP((-5)*(AA23-(1.96*AB23))))</f>
        <v>7.1520368606616813</v>
      </c>
      <c r="Z23" s="23">
        <f t="shared" ref="Z23:Z24" si="84">1000*(1-EXP((-5)*(AA23+(1.96*AB23))))</f>
        <v>18.716927393220175</v>
      </c>
      <c r="AA23" s="24">
        <f t="shared" ref="AA23:AA24" si="85">(K23)/(G23+(K23)/2)</f>
        <v>2.6072041166380791E-3</v>
      </c>
      <c r="AB23" s="24">
        <f t="shared" ref="AB23:AB24" si="86">SQRT(AA23*(1-AA23)/(G23-1))</f>
        <v>5.9778421458119393E-4</v>
      </c>
      <c r="AC23" s="27">
        <f t="shared" ref="AC23:AC24" si="87">+K23/(H23-I23)</f>
        <v>0.34545454545454546</v>
      </c>
    </row>
    <row r="24" spans="2:29" x14ac:dyDescent="0.25">
      <c r="B24" s="71" t="s">
        <v>43</v>
      </c>
      <c r="C24" s="38" t="s">
        <v>35</v>
      </c>
      <c r="D24" s="31">
        <v>2023</v>
      </c>
      <c r="E24" s="39" t="s">
        <v>99</v>
      </c>
      <c r="F24" s="70" t="s">
        <v>10</v>
      </c>
      <c r="G24" s="37">
        <v>2975</v>
      </c>
      <c r="H24" s="37">
        <v>28</v>
      </c>
      <c r="I24" s="37">
        <v>13</v>
      </c>
      <c r="J24" s="37">
        <v>4</v>
      </c>
      <c r="K24" s="37">
        <v>4</v>
      </c>
      <c r="L24" s="32">
        <f t="shared" ref="L24" si="88">1000*(1-EXP(-5*(H24-I24)/(G24+(H24-I24)/2)))</f>
        <v>24.833144733471425</v>
      </c>
      <c r="M24" s="23">
        <f t="shared" si="71"/>
        <v>12.357632668732133</v>
      </c>
      <c r="N24" s="23">
        <f t="shared" si="72"/>
        <v>37.151071009644319</v>
      </c>
      <c r="O24" s="24">
        <f t="shared" si="73"/>
        <v>5.0293378038558257E-3</v>
      </c>
      <c r="P24" s="24">
        <f t="shared" si="74"/>
        <v>1.2971495786110007E-3</v>
      </c>
      <c r="Q24" s="27">
        <f t="shared" si="75"/>
        <v>0.26666666666666666</v>
      </c>
      <c r="R24" s="32">
        <f t="shared" si="76"/>
        <v>45.758416578945862</v>
      </c>
      <c r="S24" s="23">
        <f t="shared" si="77"/>
        <v>29.095510575306015</v>
      </c>
      <c r="T24" s="23">
        <f t="shared" si="78"/>
        <v>62.135349616644795</v>
      </c>
      <c r="U24" s="24">
        <f t="shared" si="79"/>
        <v>9.3676814988290398E-3</v>
      </c>
      <c r="V24" s="24">
        <f t="shared" si="80"/>
        <v>1.7664519244902054E-3</v>
      </c>
      <c r="W24" s="27">
        <f t="shared" si="81"/>
        <v>0.14285714285714285</v>
      </c>
      <c r="X24" s="32">
        <f t="shared" si="82"/>
        <v>6.6956561865079145</v>
      </c>
      <c r="Y24" s="23">
        <f t="shared" si="83"/>
        <v>0.13546126511887469</v>
      </c>
      <c r="Z24" s="23">
        <f t="shared" si="84"/>
        <v>13.212809119968249</v>
      </c>
      <c r="AA24" s="24">
        <f t="shared" si="85"/>
        <v>1.3436345314074571E-3</v>
      </c>
      <c r="AB24" s="24">
        <f t="shared" si="86"/>
        <v>6.7170430777679251E-4</v>
      </c>
      <c r="AC24" s="27">
        <f t="shared" si="87"/>
        <v>0.26666666666666666</v>
      </c>
    </row>
    <row r="25" spans="2:29" x14ac:dyDescent="0.25">
      <c r="B25" s="71" t="s">
        <v>43</v>
      </c>
      <c r="C25" s="38" t="s">
        <v>101</v>
      </c>
      <c r="D25" s="31">
        <v>2023</v>
      </c>
      <c r="E25" s="31" t="s">
        <v>100</v>
      </c>
      <c r="F25" s="70" t="s">
        <v>10</v>
      </c>
      <c r="G25" s="37">
        <v>5114</v>
      </c>
      <c r="H25" s="37">
        <v>36</v>
      </c>
      <c r="I25" s="37">
        <v>12</v>
      </c>
      <c r="J25" s="37">
        <v>5</v>
      </c>
      <c r="K25" s="37">
        <v>16</v>
      </c>
      <c r="L25" s="32">
        <f t="shared" ref="L25" si="89">1000*(1-EXP(-5*(H25-I25)/(G25+(H25-I25)/2)))</f>
        <v>23.138176511185105</v>
      </c>
      <c r="M25" s="23">
        <f t="shared" ref="M25" si="90">1000*(1-EXP((-5)*(O25-(1.96*P25))))</f>
        <v>13.955870670276926</v>
      </c>
      <c r="N25" s="23">
        <f t="shared" ref="N25" si="91">1000*(1-EXP((-5)*(O25+(1.96*P25))))</f>
        <v>32.234974271827866</v>
      </c>
      <c r="O25" s="24">
        <f t="shared" ref="O25" si="92">(H25-I25)/(G25+(H25-I25)/2)</f>
        <v>4.6820132657042525E-3</v>
      </c>
      <c r="P25" s="24">
        <f t="shared" ref="P25" si="93">SQRT(O25*(1-O25)/(G25-1))</f>
        <v>9.5468335306140141E-4</v>
      </c>
      <c r="Q25" s="27">
        <f t="shared" ref="Q25" si="94">J25/(H25-I25)</f>
        <v>0.20833333333333334</v>
      </c>
      <c r="R25" s="32">
        <f t="shared" ref="R25" si="95">1000*(1-EXP(-5*H25/(G25+H25/2)))</f>
        <v>34.466079547929908</v>
      </c>
      <c r="S25" s="23">
        <f t="shared" ref="S25" si="96">1000*(1-EXP((-5)*(U25-(1.96*V25))))</f>
        <v>23.358454155511076</v>
      </c>
      <c r="T25" s="23">
        <f t="shared" ref="T25" si="97">1000*(1-EXP((-5)*(U25+(1.96*V25))))</f>
        <v>45.447374719825739</v>
      </c>
      <c r="U25" s="24">
        <f t="shared" ref="U25" si="98">(H25)/(G25+(H25)/2)</f>
        <v>7.014809041309431E-3</v>
      </c>
      <c r="V25" s="24">
        <f t="shared" ref="V25" si="99">SQRT(U25*(1-U25)/(G25-1))</f>
        <v>1.1671896181922803E-3</v>
      </c>
      <c r="W25" s="27">
        <f t="shared" ref="W25" si="100">+J25/H25</f>
        <v>0.1388888888888889</v>
      </c>
      <c r="X25" s="32">
        <f t="shared" ref="X25" si="101">1000*(1-EXP(-5*K25/(G25+K25/2)))</f>
        <v>15.497556433188064</v>
      </c>
      <c r="Y25" s="23">
        <f t="shared" ref="Y25" si="102">1000*(1-EXP((-5)*(AA25-(1.96*AB25))))</f>
        <v>7.9391958804576612</v>
      </c>
      <c r="Z25" s="23">
        <f t="shared" ref="Z25" si="103">1000*(1-EXP((-5)*(AA25+(1.96*AB25))))</f>
        <v>22.998330985133265</v>
      </c>
      <c r="AA25" s="24">
        <f t="shared" ref="AA25" si="104">(K25)/(G25+(K25)/2)</f>
        <v>3.1237797735259665E-3</v>
      </c>
      <c r="AB25" s="24">
        <f t="shared" ref="AB25" si="105">SQRT(AA25*(1-AA25)/(G25-1))</f>
        <v>7.8041018033480865E-4</v>
      </c>
      <c r="AC25" s="27">
        <f t="shared" ref="AC25" si="106">+K25/(H25-I25)</f>
        <v>0.66666666666666663</v>
      </c>
    </row>
    <row r="26" spans="2:29" x14ac:dyDescent="0.25">
      <c r="B26" s="69" t="s">
        <v>57</v>
      </c>
      <c r="C26" s="38" t="s">
        <v>50</v>
      </c>
      <c r="D26" s="31" t="s">
        <v>18</v>
      </c>
      <c r="E26" s="28" t="s">
        <v>51</v>
      </c>
      <c r="F26" s="72" t="s">
        <v>11</v>
      </c>
      <c r="G26" s="37">
        <v>1316</v>
      </c>
      <c r="H26" s="37">
        <v>37</v>
      </c>
      <c r="I26" s="37">
        <v>3</v>
      </c>
      <c r="J26" s="37">
        <v>21</v>
      </c>
      <c r="K26" s="37">
        <v>5</v>
      </c>
      <c r="L26" s="32">
        <f t="shared" ref="L26:L30" si="107">1000*(1-EXP(-5*(H26-I26)/(G26+(H26-I26)/2)))</f>
        <v>119.7346500875861</v>
      </c>
      <c r="M26" s="23">
        <f t="shared" ref="M26:M30" si="108">1000*(1-EXP((-5)*(O26-(1.96*P26))))</f>
        <v>81.419066053807882</v>
      </c>
      <c r="N26" s="23">
        <f t="shared" ref="N26:N30" si="109">1000*(1-EXP((-5)*(O26+(1.96*P26))))</f>
        <v>156.45202548715852</v>
      </c>
      <c r="O26" s="24">
        <f t="shared" ref="O26:O30" si="110">(H26-I26)/(G26+(H26-I26)/2)</f>
        <v>2.5506376594148537E-2</v>
      </c>
      <c r="P26" s="24">
        <f t="shared" ref="P26:P30" si="111">SQRT(O26*(1-O26)/(G26-1))</f>
        <v>4.3476142968190854E-3</v>
      </c>
      <c r="Q26" s="27">
        <f t="shared" ref="Q26:Q30" si="112">J26/(H26-I26)</f>
        <v>0.61764705882352944</v>
      </c>
      <c r="R26" s="32">
        <f t="shared" ref="R26:R30" si="113">1000*(1-EXP(-5*H26/(G26+H26/2)))</f>
        <v>129.44879578308189</v>
      </c>
      <c r="S26" s="23">
        <f t="shared" ref="S26:S30" si="114">1000*(1-EXP((-5)*(U26-(1.96*V26))))</f>
        <v>89.951791967118439</v>
      </c>
      <c r="T26" s="23">
        <f t="shared" ref="T26:T34" si="115">1000*(1-EXP((-5)*(U26+(1.96*V26))))</f>
        <v>167.23159006962896</v>
      </c>
      <c r="U26" s="24">
        <f t="shared" ref="U26:U34" si="116">(H26)/(G26+(H26)/2)</f>
        <v>2.7725739977519669E-2</v>
      </c>
      <c r="V26" s="24">
        <f t="shared" ref="V26:V34" si="117">SQRT(U26*(1-U26)/(G26-1))</f>
        <v>4.5276525381117401E-3</v>
      </c>
      <c r="W26" s="27">
        <f t="shared" ref="W26:W34" si="118">+J26/H26</f>
        <v>0.56756756756756754</v>
      </c>
      <c r="X26" s="32">
        <f t="shared" ref="X26:X34" si="119">1000*(1-EXP(-5*K26/(G26+K26/2)))</f>
        <v>18.78231259676777</v>
      </c>
      <c r="Y26" s="23">
        <f t="shared" ref="Y26:Y34" si="120">1000*(1-EXP((-5)*(AA26-(1.96*AB26))))</f>
        <v>2.3476650644510544</v>
      </c>
      <c r="Z26" s="23">
        <f t="shared" ref="Z26:Z34" si="121">1000*(1-EXP((-5)*(AA26+(1.96*AB26))))</f>
        <v>34.946226898626144</v>
      </c>
      <c r="AA26" s="24">
        <f t="shared" ref="AA26:AA34" si="122">(K26)/(G26+(K26)/2)</f>
        <v>3.7921880925293893E-3</v>
      </c>
      <c r="AB26" s="24">
        <f t="shared" ref="AB26:AB34" si="123">SQRT(AA26*(1-AA26)/(G26-1))</f>
        <v>1.6949505420289284E-3</v>
      </c>
      <c r="AC26" s="27">
        <f t="shared" si="70"/>
        <v>0.14705882352941177</v>
      </c>
    </row>
    <row r="27" spans="2:29" x14ac:dyDescent="0.25">
      <c r="B27" s="69" t="s">
        <v>57</v>
      </c>
      <c r="C27" s="38" t="s">
        <v>52</v>
      </c>
      <c r="D27" s="31">
        <v>2022</v>
      </c>
      <c r="E27" s="28" t="s">
        <v>53</v>
      </c>
      <c r="F27" s="70" t="s">
        <v>10</v>
      </c>
      <c r="G27" s="37">
        <v>8577</v>
      </c>
      <c r="H27" s="37">
        <v>328</v>
      </c>
      <c r="I27" s="37">
        <v>60</v>
      </c>
      <c r="J27" s="37">
        <v>85</v>
      </c>
      <c r="K27" s="37">
        <v>103</v>
      </c>
      <c r="L27" s="32">
        <f t="shared" si="107"/>
        <v>142.58093797879789</v>
      </c>
      <c r="M27" s="23">
        <f t="shared" si="108"/>
        <v>126.76850223705082</v>
      </c>
      <c r="N27" s="23">
        <f t="shared" si="109"/>
        <v>158.10704286243072</v>
      </c>
      <c r="O27" s="24">
        <f t="shared" si="110"/>
        <v>3.0765698542073242E-2</v>
      </c>
      <c r="P27" s="24">
        <f t="shared" si="111"/>
        <v>1.864684632791329E-3</v>
      </c>
      <c r="Q27" s="27">
        <f t="shared" si="112"/>
        <v>0.31716417910447764</v>
      </c>
      <c r="R27" s="32">
        <f t="shared" si="113"/>
        <v>171.07164716743074</v>
      </c>
      <c r="S27" s="23">
        <f t="shared" si="114"/>
        <v>154.23225892664806</v>
      </c>
      <c r="T27" s="23">
        <f t="shared" si="115"/>
        <v>187.57576015171807</v>
      </c>
      <c r="U27" s="24">
        <f t="shared" si="116"/>
        <v>3.7524310719597297E-2</v>
      </c>
      <c r="V27" s="24">
        <f t="shared" si="117"/>
        <v>2.0521488562586093E-3</v>
      </c>
      <c r="W27" s="27">
        <f t="shared" si="118"/>
        <v>0.25914634146341464</v>
      </c>
      <c r="X27" s="32">
        <f t="shared" si="119"/>
        <v>57.939634844005326</v>
      </c>
      <c r="Y27" s="23">
        <f t="shared" si="120"/>
        <v>47.05024148204884</v>
      </c>
      <c r="Z27" s="23">
        <f t="shared" si="121"/>
        <v>68.704594691255011</v>
      </c>
      <c r="AA27" s="24">
        <f t="shared" si="122"/>
        <v>1.1937184910471113E-2</v>
      </c>
      <c r="AB27" s="24">
        <f t="shared" si="123"/>
        <v>1.1727376067445323E-3</v>
      </c>
      <c r="AC27" s="27">
        <f t="shared" si="70"/>
        <v>0.38432835820895522</v>
      </c>
    </row>
    <row r="28" spans="2:29" x14ac:dyDescent="0.25">
      <c r="B28" s="69" t="s">
        <v>57</v>
      </c>
      <c r="C28" s="38" t="s">
        <v>50</v>
      </c>
      <c r="D28" s="31">
        <v>2022</v>
      </c>
      <c r="E28" s="28" t="s">
        <v>54</v>
      </c>
      <c r="F28" s="70" t="s">
        <v>10</v>
      </c>
      <c r="G28" s="37">
        <v>2943</v>
      </c>
      <c r="H28" s="37">
        <v>68</v>
      </c>
      <c r="I28" s="37">
        <v>9</v>
      </c>
      <c r="J28" s="37">
        <v>39</v>
      </c>
      <c r="K28" s="37">
        <v>12</v>
      </c>
      <c r="L28" s="32">
        <f t="shared" si="107"/>
        <v>94.477416310651648</v>
      </c>
      <c r="M28" s="23">
        <f t="shared" si="108"/>
        <v>71.367440879942734</v>
      </c>
      <c r="N28" s="23">
        <f t="shared" si="109"/>
        <v>117.01227625659439</v>
      </c>
      <c r="O28" s="24">
        <f t="shared" si="110"/>
        <v>1.9848612279226241E-2</v>
      </c>
      <c r="P28" s="24">
        <f t="shared" si="111"/>
        <v>2.5715224463308517E-3</v>
      </c>
      <c r="Q28" s="27">
        <f t="shared" si="112"/>
        <v>0.66101694915254239</v>
      </c>
      <c r="R28" s="32">
        <f t="shared" si="113"/>
        <v>107.92844871104535</v>
      </c>
      <c r="S28" s="23">
        <f t="shared" si="114"/>
        <v>83.52076492058535</v>
      </c>
      <c r="T28" s="23">
        <f t="shared" si="115"/>
        <v>131.68610683238757</v>
      </c>
      <c r="U28" s="24">
        <f t="shared" si="116"/>
        <v>2.2841787033926773E-2</v>
      </c>
      <c r="V28" s="24">
        <f t="shared" si="117"/>
        <v>2.7543945357692613E-3</v>
      </c>
      <c r="W28" s="27">
        <f t="shared" si="118"/>
        <v>0.57352941176470584</v>
      </c>
      <c r="X28" s="32">
        <f t="shared" si="119"/>
        <v>20.14029914521376</v>
      </c>
      <c r="Y28" s="23">
        <f t="shared" si="120"/>
        <v>8.8049088339018375</v>
      </c>
      <c r="Z28" s="23">
        <f t="shared" si="121"/>
        <v>31.346056980885884</v>
      </c>
      <c r="AA28" s="24">
        <f t="shared" si="122"/>
        <v>4.0691759918616479E-3</v>
      </c>
      <c r="AB28" s="24">
        <f t="shared" si="123"/>
        <v>1.1736713127230047E-3</v>
      </c>
      <c r="AC28" s="27">
        <f t="shared" si="70"/>
        <v>0.20338983050847459</v>
      </c>
    </row>
    <row r="29" spans="2:29" x14ac:dyDescent="0.25">
      <c r="B29" s="69" t="s">
        <v>57</v>
      </c>
      <c r="C29" s="38" t="s">
        <v>52</v>
      </c>
      <c r="D29" s="31">
        <v>2023</v>
      </c>
      <c r="E29" s="28" t="s">
        <v>55</v>
      </c>
      <c r="F29" s="70" t="s">
        <v>10</v>
      </c>
      <c r="G29" s="37">
        <v>1774</v>
      </c>
      <c r="H29" s="37">
        <v>72</v>
      </c>
      <c r="I29" s="37">
        <v>19</v>
      </c>
      <c r="J29" s="37">
        <v>27</v>
      </c>
      <c r="K29" s="37">
        <v>16</v>
      </c>
      <c r="L29" s="32">
        <f t="shared" si="107"/>
        <v>136.86255684007421</v>
      </c>
      <c r="M29" s="23">
        <f t="shared" si="108"/>
        <v>102.23072528404597</v>
      </c>
      <c r="N29" s="23">
        <f t="shared" si="109"/>
        <v>170.15845076635384</v>
      </c>
      <c r="O29" s="24">
        <f t="shared" si="110"/>
        <v>2.9436267703415717E-2</v>
      </c>
      <c r="P29" s="24">
        <f t="shared" si="111"/>
        <v>4.0142002486511612E-3</v>
      </c>
      <c r="Q29" s="27">
        <f t="shared" si="112"/>
        <v>0.50943396226415094</v>
      </c>
      <c r="R29" s="32">
        <f t="shared" si="113"/>
        <v>180.36407205222426</v>
      </c>
      <c r="S29" s="23">
        <f t="shared" si="114"/>
        <v>142.2206193913137</v>
      </c>
      <c r="T29" s="23">
        <f t="shared" si="115"/>
        <v>216.81137414833262</v>
      </c>
      <c r="U29" s="24">
        <f t="shared" si="116"/>
        <v>3.9779005524861875E-2</v>
      </c>
      <c r="V29" s="24">
        <f t="shared" si="117"/>
        <v>4.6414982559474559E-3</v>
      </c>
      <c r="W29" s="27">
        <f t="shared" si="118"/>
        <v>0.375</v>
      </c>
      <c r="X29" s="32">
        <f t="shared" si="119"/>
        <v>43.900582585948086</v>
      </c>
      <c r="Y29" s="23">
        <f t="shared" si="120"/>
        <v>22.677989968572287</v>
      </c>
      <c r="Z29" s="23">
        <f t="shared" si="121"/>
        <v>64.662325623778941</v>
      </c>
      <c r="AA29" s="24">
        <f t="shared" si="122"/>
        <v>8.9786756453423128E-3</v>
      </c>
      <c r="AB29" s="24">
        <f t="shared" si="123"/>
        <v>2.2402334285600025E-3</v>
      </c>
      <c r="AC29" s="27">
        <f t="shared" si="70"/>
        <v>0.30188679245283018</v>
      </c>
    </row>
    <row r="30" spans="2:29" x14ac:dyDescent="0.25">
      <c r="B30" s="69" t="s">
        <v>57</v>
      </c>
      <c r="C30" s="38" t="s">
        <v>52</v>
      </c>
      <c r="D30" s="31">
        <v>2023</v>
      </c>
      <c r="E30" s="28" t="s">
        <v>56</v>
      </c>
      <c r="F30" s="70" t="s">
        <v>10</v>
      </c>
      <c r="G30" s="37">
        <v>2849</v>
      </c>
      <c r="H30" s="37">
        <v>49</v>
      </c>
      <c r="I30" s="37">
        <v>2</v>
      </c>
      <c r="J30" s="37">
        <v>11</v>
      </c>
      <c r="K30" s="37">
        <v>32</v>
      </c>
      <c r="L30" s="32">
        <f t="shared" si="107"/>
        <v>78.553231607698223</v>
      </c>
      <c r="M30" s="23">
        <f t="shared" si="108"/>
        <v>56.834648134080453</v>
      </c>
      <c r="N30" s="23">
        <f t="shared" si="109"/>
        <v>99.771694007988458</v>
      </c>
      <c r="O30" s="24">
        <f t="shared" si="110"/>
        <v>1.6362053959965189E-2</v>
      </c>
      <c r="P30" s="24">
        <f t="shared" si="111"/>
        <v>2.3772045615490412E-3</v>
      </c>
      <c r="Q30" s="27">
        <f t="shared" si="112"/>
        <v>0.23404255319148937</v>
      </c>
      <c r="R30" s="32">
        <f t="shared" si="113"/>
        <v>81.728220209714593</v>
      </c>
      <c r="S30" s="23">
        <f t="shared" si="114"/>
        <v>59.635063556706228</v>
      </c>
      <c r="T30" s="23">
        <f t="shared" si="115"/>
        <v>103.30231500495046</v>
      </c>
      <c r="U30" s="24">
        <f t="shared" si="116"/>
        <v>1.705237515225335E-2</v>
      </c>
      <c r="V30" s="24">
        <f t="shared" si="117"/>
        <v>2.425982342870905E-3</v>
      </c>
      <c r="W30" s="27">
        <f t="shared" si="118"/>
        <v>0.22448979591836735</v>
      </c>
      <c r="X30" s="32">
        <f t="shared" si="119"/>
        <v>54.315639268961881</v>
      </c>
      <c r="Y30" s="23">
        <f t="shared" si="120"/>
        <v>35.887844982641191</v>
      </c>
      <c r="Z30" s="23">
        <f t="shared" si="121"/>
        <v>72.391209386660989</v>
      </c>
      <c r="AA30" s="24">
        <f t="shared" si="122"/>
        <v>1.1169284467713788E-2</v>
      </c>
      <c r="AB30" s="24">
        <f t="shared" si="123"/>
        <v>1.969262712103511E-3</v>
      </c>
      <c r="AC30" s="27">
        <f t="shared" si="70"/>
        <v>0.68085106382978722</v>
      </c>
    </row>
    <row r="31" spans="2:29" x14ac:dyDescent="0.25">
      <c r="B31" s="69" t="s">
        <v>57</v>
      </c>
      <c r="C31" s="38" t="s">
        <v>102</v>
      </c>
      <c r="D31" s="31">
        <v>2023</v>
      </c>
      <c r="E31" s="28" t="s">
        <v>103</v>
      </c>
      <c r="F31" s="70" t="s">
        <v>10</v>
      </c>
      <c r="G31" s="37">
        <v>2838</v>
      </c>
      <c r="H31" s="37">
        <v>103</v>
      </c>
      <c r="I31" s="37">
        <v>22</v>
      </c>
      <c r="J31" s="37">
        <v>34</v>
      </c>
      <c r="K31" s="37">
        <v>27</v>
      </c>
      <c r="L31" s="32">
        <f t="shared" ref="L31:L32" si="124">1000*(1-EXP(-5*(H31-I31)/(G31+(H31-I31)/2)))</f>
        <v>131.2486084796295</v>
      </c>
      <c r="M31" s="23">
        <f t="shared" ref="M31:M32" si="125">1000*(1-EXP((-5)*(O31-(1.96*P31))))</f>
        <v>104.40894200490681</v>
      </c>
      <c r="N31" s="23">
        <f t="shared" ref="N31:N32" si="126">1000*(1-EXP((-5)*(O31+(1.96*P31))))</f>
        <v>157.28392603857921</v>
      </c>
      <c r="O31" s="24">
        <f t="shared" ref="O31:O32" si="127">(H31-I31)/(G31+(H31-I31)/2)</f>
        <v>2.8139656070870246E-2</v>
      </c>
      <c r="P31" s="24">
        <f t="shared" ref="P31:P32" si="128">SQRT(O31*(1-O31)/(G31-1))</f>
        <v>3.1047858850479101E-3</v>
      </c>
      <c r="Q31" s="27">
        <f t="shared" ref="Q31:Q32" si="129">J31/(H31-I31)</f>
        <v>0.41975308641975306</v>
      </c>
      <c r="R31" s="32">
        <f t="shared" ref="R31:R32" si="130">1000*(1-EXP(-5*H31/(G31+H31/2)))</f>
        <v>163.25132964097455</v>
      </c>
      <c r="S31" s="23">
        <f t="shared" ref="S31:S32" si="131">1000*(1-EXP((-5)*(U31-(1.96*V31))))</f>
        <v>134.21474644985221</v>
      </c>
      <c r="T31" s="23">
        <f t="shared" ref="T31:T32" si="132">1000*(1-EXP((-5)*(U31+(1.96*V31))))</f>
        <v>191.31408801819782</v>
      </c>
      <c r="U31" s="24">
        <f t="shared" ref="U31:U32" si="133">(H31)/(G31+(H31)/2)</f>
        <v>3.5646305589202287E-2</v>
      </c>
      <c r="V31" s="24">
        <f t="shared" ref="V31:V32" si="134">SQRT(U31*(1-U31)/(G31-1))</f>
        <v>3.4809338428667454E-3</v>
      </c>
      <c r="W31" s="27">
        <f t="shared" ref="W31:W32" si="135">+J31/H31</f>
        <v>0.3300970873786408</v>
      </c>
      <c r="X31" s="32">
        <f t="shared" ref="X31:X32" si="136">1000*(1-EXP(-5*K31/(G31+K31/2)))</f>
        <v>46.240278410832005</v>
      </c>
      <c r="Y31" s="23">
        <f t="shared" ref="Y31:Y32" si="137">1000*(1-EXP((-5)*(AA31-(1.96*AB31))))</f>
        <v>29.093216915048959</v>
      </c>
      <c r="Z31" s="23">
        <f t="shared" ref="Z31:Z32" si="138">1000*(1-EXP((-5)*(AA31+(1.96*AB31))))</f>
        <v>63.084507829362479</v>
      </c>
      <c r="AA31" s="24">
        <f t="shared" ref="AA31:AA32" si="139">(K31)/(G31+(K31)/2)</f>
        <v>9.4687006838506046E-3</v>
      </c>
      <c r="AB31" s="24">
        <f t="shared" ref="AB31:AB32" si="140">SQRT(AA31*(1-AA31)/(G31-1))</f>
        <v>1.8182333854772992E-3</v>
      </c>
      <c r="AC31" s="27">
        <f t="shared" ref="AC31:AC32" si="141">+K31/(H31-I31)</f>
        <v>0.33333333333333331</v>
      </c>
    </row>
    <row r="32" spans="2:29" x14ac:dyDescent="0.25">
      <c r="B32" s="69" t="s">
        <v>57</v>
      </c>
      <c r="C32" s="38" t="s">
        <v>102</v>
      </c>
      <c r="D32" s="31">
        <v>2023</v>
      </c>
      <c r="E32" s="28" t="s">
        <v>104</v>
      </c>
      <c r="F32" s="70" t="s">
        <v>10</v>
      </c>
      <c r="G32" s="37">
        <v>2527</v>
      </c>
      <c r="H32" s="37">
        <v>81</v>
      </c>
      <c r="I32" s="37">
        <v>12</v>
      </c>
      <c r="J32" s="37">
        <v>37</v>
      </c>
      <c r="K32" s="37">
        <v>20</v>
      </c>
      <c r="L32" s="32">
        <f t="shared" si="124"/>
        <v>126.0103163563181</v>
      </c>
      <c r="M32" s="23">
        <f t="shared" si="125"/>
        <v>97.979446513457475</v>
      </c>
      <c r="N32" s="23">
        <f t="shared" si="126"/>
        <v>153.17010885941039</v>
      </c>
      <c r="O32" s="24">
        <f t="shared" si="127"/>
        <v>2.6937341401522544E-2</v>
      </c>
      <c r="P32" s="24">
        <f t="shared" si="128"/>
        <v>3.2212994284628168E-3</v>
      </c>
      <c r="Q32" s="27">
        <f t="shared" si="129"/>
        <v>0.53623188405797106</v>
      </c>
      <c r="R32" s="32">
        <f t="shared" si="130"/>
        <v>145.92903647564614</v>
      </c>
      <c r="S32" s="23">
        <f t="shared" si="131"/>
        <v>116.31813275312908</v>
      </c>
      <c r="T32" s="23">
        <f t="shared" si="132"/>
        <v>174.54772155957565</v>
      </c>
      <c r="U32" s="24">
        <f t="shared" si="133"/>
        <v>3.1548198636806232E-2</v>
      </c>
      <c r="V32" s="24">
        <f t="shared" si="134"/>
        <v>3.4778401415974077E-3</v>
      </c>
      <c r="W32" s="27">
        <f t="shared" si="135"/>
        <v>0.4567901234567901</v>
      </c>
      <c r="X32" s="32">
        <f t="shared" si="136"/>
        <v>38.64990526441359</v>
      </c>
      <c r="Y32" s="23">
        <f t="shared" si="137"/>
        <v>21.928335414873711</v>
      </c>
      <c r="Z32" s="23">
        <f t="shared" si="138"/>
        <v>55.085595348331459</v>
      </c>
      <c r="AA32" s="24">
        <f t="shared" si="139"/>
        <v>7.883326763894364E-3</v>
      </c>
      <c r="AB32" s="24">
        <f t="shared" si="140"/>
        <v>1.7596223325975664E-3</v>
      </c>
      <c r="AC32" s="27">
        <f t="shared" si="141"/>
        <v>0.28985507246376813</v>
      </c>
    </row>
    <row r="33" spans="2:29" x14ac:dyDescent="0.25">
      <c r="B33" s="71" t="s">
        <v>58</v>
      </c>
      <c r="C33" s="38" t="s">
        <v>59</v>
      </c>
      <c r="D33" s="31">
        <v>2022</v>
      </c>
      <c r="E33" s="28" t="s">
        <v>61</v>
      </c>
      <c r="F33" s="70" t="s">
        <v>10</v>
      </c>
      <c r="G33" s="37">
        <v>6459</v>
      </c>
      <c r="H33" s="37">
        <v>479</v>
      </c>
      <c r="I33" s="37">
        <v>95</v>
      </c>
      <c r="J33" s="37">
        <v>231</v>
      </c>
      <c r="K33" s="37">
        <v>65</v>
      </c>
      <c r="L33" s="32">
        <f t="shared" ref="L33:L34" si="142">1000*(1-EXP(-5*(H33-I33)/(G33+(H33-I33)/2)))</f>
        <v>250.74686920817879</v>
      </c>
      <c r="M33" s="23">
        <f t="shared" ref="M33:M34" si="143">1000*(1-EXP((-5)*(O33-(1.96*P33))))</f>
        <v>229.12938069144451</v>
      </c>
      <c r="N33" s="23">
        <f t="shared" ref="N33:N34" si="144">1000*(1-EXP((-5)*(O33+(1.96*P33))))</f>
        <v>271.75813951129089</v>
      </c>
      <c r="O33" s="24">
        <f t="shared" ref="O33:O34" si="145">(H33-I33)/(G33+(H33-I33)/2)</f>
        <v>5.7735678845286423E-2</v>
      </c>
      <c r="P33" s="24">
        <f t="shared" ref="P33:P34" si="146">SQRT(O33*(1-O33)/(G33-1))</f>
        <v>2.9024148763071053E-3</v>
      </c>
      <c r="Q33" s="27">
        <f t="shared" ref="Q33:Q34" si="147">J33/(H33-I33)</f>
        <v>0.6015625</v>
      </c>
      <c r="R33" s="32">
        <f t="shared" ref="R33" si="148">1000*(1-EXP(-5*H33/(G33+H33/2)))</f>
        <v>300.60718916204166</v>
      </c>
      <c r="S33" s="23">
        <f t="shared" ref="S33:S34" si="149">1000*(1-EXP((-5)*(U33-(1.96*V33))))</f>
        <v>278.281370468332</v>
      </c>
      <c r="T33" s="23">
        <f t="shared" si="115"/>
        <v>322.24237557892076</v>
      </c>
      <c r="U33" s="24">
        <f t="shared" si="116"/>
        <v>7.1508546689557362E-2</v>
      </c>
      <c r="V33" s="24">
        <f t="shared" si="117"/>
        <v>3.2064089399946581E-3</v>
      </c>
      <c r="W33" s="27">
        <f t="shared" si="118"/>
        <v>0.4822546972860125</v>
      </c>
      <c r="X33" s="32">
        <f t="shared" si="119"/>
        <v>48.832850670170181</v>
      </c>
      <c r="Y33" s="23">
        <f t="shared" si="120"/>
        <v>37.213765014378119</v>
      </c>
      <c r="Z33" s="23">
        <f t="shared" si="121"/>
        <v>60.311715011436732</v>
      </c>
      <c r="AA33" s="24">
        <f t="shared" si="122"/>
        <v>1.0013094046060232E-2</v>
      </c>
      <c r="AB33" s="24">
        <f t="shared" si="123"/>
        <v>1.2389387956534379E-3</v>
      </c>
      <c r="AC33" s="27">
        <f t="shared" si="70"/>
        <v>0.16927083333333334</v>
      </c>
    </row>
    <row r="34" spans="2:29" x14ac:dyDescent="0.25">
      <c r="B34" s="71" t="s">
        <v>58</v>
      </c>
      <c r="C34" s="38" t="s">
        <v>59</v>
      </c>
      <c r="D34" s="31">
        <v>2022</v>
      </c>
      <c r="E34" s="28" t="s">
        <v>62</v>
      </c>
      <c r="F34" s="70" t="s">
        <v>10</v>
      </c>
      <c r="G34" s="37">
        <v>4011</v>
      </c>
      <c r="H34" s="37">
        <v>387</v>
      </c>
      <c r="I34" s="37">
        <v>80</v>
      </c>
      <c r="J34" s="37">
        <v>150</v>
      </c>
      <c r="K34" s="37">
        <v>15</v>
      </c>
      <c r="L34" s="32">
        <f t="shared" si="142"/>
        <v>308.29220054851993</v>
      </c>
      <c r="M34" s="23">
        <f t="shared" si="143"/>
        <v>279.74609156407462</v>
      </c>
      <c r="N34" s="23">
        <f t="shared" si="144"/>
        <v>335.70693026711541</v>
      </c>
      <c r="O34" s="24">
        <f t="shared" si="145"/>
        <v>7.3718333533437388E-2</v>
      </c>
      <c r="P34" s="24">
        <f t="shared" si="146"/>
        <v>4.1265499116319429E-3</v>
      </c>
      <c r="Q34" s="27">
        <f t="shared" si="147"/>
        <v>0.48859934853420195</v>
      </c>
      <c r="R34" s="32">
        <f>1000*(1-EXP(-5*H34/(G34+H34/2)))</f>
        <v>368.85597367847225</v>
      </c>
      <c r="S34" s="23">
        <f t="shared" si="149"/>
        <v>339.97817100546479</v>
      </c>
      <c r="T34" s="23">
        <f t="shared" si="115"/>
        <v>396.47029164447912</v>
      </c>
      <c r="U34" s="24">
        <f t="shared" si="116"/>
        <v>9.2044238316089905E-2</v>
      </c>
      <c r="V34" s="24">
        <f t="shared" si="117"/>
        <v>4.5651858475497485E-3</v>
      </c>
      <c r="W34" s="27">
        <f t="shared" si="118"/>
        <v>0.38759689922480622</v>
      </c>
      <c r="X34" s="32">
        <f t="shared" si="119"/>
        <v>18.49059248565932</v>
      </c>
      <c r="Y34" s="23">
        <f t="shared" si="120"/>
        <v>9.1837822047413642</v>
      </c>
      <c r="Z34" s="23">
        <f t="shared" si="121"/>
        <v>27.709983206774645</v>
      </c>
      <c r="AA34" s="24">
        <f t="shared" si="122"/>
        <v>3.7327360955580441E-3</v>
      </c>
      <c r="AB34" s="24">
        <f t="shared" si="123"/>
        <v>9.6300687360123885E-4</v>
      </c>
      <c r="AC34" s="27">
        <f t="shared" si="70"/>
        <v>4.8859934853420196E-2</v>
      </c>
    </row>
    <row r="35" spans="2:29" x14ac:dyDescent="0.25">
      <c r="B35" s="71" t="s">
        <v>58</v>
      </c>
      <c r="C35" s="38" t="s">
        <v>109</v>
      </c>
      <c r="D35" s="31">
        <v>2023</v>
      </c>
      <c r="E35" s="28" t="s">
        <v>110</v>
      </c>
      <c r="F35" s="70" t="s">
        <v>10</v>
      </c>
      <c r="G35" s="37">
        <v>5234</v>
      </c>
      <c r="H35" s="37">
        <v>456</v>
      </c>
      <c r="I35" s="37">
        <v>63</v>
      </c>
      <c r="J35" s="37"/>
      <c r="K35" s="37"/>
      <c r="L35" s="32">
        <f t="shared" ref="L35" si="150">1000*(1-EXP(-5*(H35-I35)/(G35+(H35-I35)/2)))</f>
        <v>303.60979331900319</v>
      </c>
      <c r="M35" s="23">
        <f t="shared" ref="M35" si="151">1000*(1-EXP((-5)*(O35-(1.96*P35))))</f>
        <v>278.7320120122809</v>
      </c>
      <c r="N35" s="23">
        <f t="shared" ref="N35" si="152">1000*(1-EXP((-5)*(O35+(1.96*P35))))</f>
        <v>327.62949688894417</v>
      </c>
      <c r="O35" s="24">
        <f t="shared" ref="O35" si="153">(H35-I35)/(G35+(H35-I35)/2)</f>
        <v>7.2369026793112967E-2</v>
      </c>
      <c r="P35" s="24">
        <f t="shared" ref="P35" si="154">SQRT(O35*(1-O35)/(G35-1))</f>
        <v>3.5816951543239518E-3</v>
      </c>
      <c r="Q35" s="27"/>
      <c r="R35" s="32">
        <f>1000*(1-EXP(-5*H35/(G35+H35/2)))</f>
        <v>341.26207732768933</v>
      </c>
      <c r="S35" s="23">
        <f t="shared" ref="S35" si="155">1000*(1-EXP((-5)*(U35-(1.96*V35))))</f>
        <v>316.10835576418583</v>
      </c>
      <c r="T35" s="23">
        <f t="shared" ref="T35" si="156">1000*(1-EXP((-5)*(U35+(1.96*V35))))</f>
        <v>365.49063813827655</v>
      </c>
      <c r="U35" s="24">
        <f t="shared" ref="U35" si="157">(H35)/(G35+(H35)/2)</f>
        <v>8.3485902599780296E-2</v>
      </c>
      <c r="V35" s="24">
        <f t="shared" ref="V35" si="158">SQRT(U35*(1-U35)/(G35-1))</f>
        <v>3.8238494112688599E-3</v>
      </c>
      <c r="W35" s="27">
        <f t="shared" ref="W35" si="159">+J35/H35</f>
        <v>0</v>
      </c>
      <c r="X35" s="32">
        <f t="shared" ref="X35" si="160">1000*(1-EXP(-5*K35/(G35+K35/2)))</f>
        <v>0</v>
      </c>
      <c r="Y35" s="23">
        <f t="shared" ref="Y35" si="161">1000*(1-EXP((-5)*(AA35-(1.96*AB35))))</f>
        <v>0</v>
      </c>
      <c r="Z35" s="23">
        <f t="shared" ref="Z35" si="162">1000*(1-EXP((-5)*(AA35+(1.96*AB35))))</f>
        <v>0</v>
      </c>
      <c r="AA35" s="24">
        <f t="shared" ref="AA35" si="163">(K35)/(G35+(K35)/2)</f>
        <v>0</v>
      </c>
      <c r="AB35" s="24">
        <f t="shared" ref="AB35" si="164">SQRT(AA35*(1-AA35)/(G35-1))</f>
        <v>0</v>
      </c>
      <c r="AC35" s="27">
        <f t="shared" ref="AC35" si="165">+K35/(H35-I35)</f>
        <v>0</v>
      </c>
    </row>
    <row r="36" spans="2:29" x14ac:dyDescent="0.25">
      <c r="N36"/>
      <c r="O36"/>
      <c r="P36"/>
      <c r="Q36"/>
      <c r="R36"/>
    </row>
    <row r="37" spans="2:29" x14ac:dyDescent="0.25">
      <c r="N37"/>
      <c r="O37"/>
      <c r="P37"/>
      <c r="Q37"/>
      <c r="R37"/>
    </row>
    <row r="38" spans="2:29" x14ac:dyDescent="0.25">
      <c r="N38"/>
      <c r="O38"/>
      <c r="P38"/>
      <c r="Q38"/>
      <c r="R38"/>
    </row>
    <row r="39" spans="2:29" x14ac:dyDescent="0.25">
      <c r="N39"/>
      <c r="O39"/>
      <c r="P39"/>
      <c r="Q39"/>
      <c r="R39"/>
    </row>
  </sheetData>
  <autoFilter ref="A4:AC4"/>
  <mergeCells count="3">
    <mergeCell ref="L3:Q3"/>
    <mergeCell ref="R3:W3"/>
    <mergeCell ref="X3:AC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25"/>
  <sheetViews>
    <sheetView zoomScaleNormal="100" workbookViewId="0">
      <pane xSplit="6" ySplit="5" topLeftCell="O6" activePane="bottomRight" state="frozen"/>
      <selection pane="topRight" activeCell="G1" sqref="G1"/>
      <selection pane="bottomLeft" activeCell="A5" sqref="A5"/>
      <selection pane="bottomRight" activeCell="AE5" sqref="AE5"/>
    </sheetView>
  </sheetViews>
  <sheetFormatPr baseColWidth="10" defaultRowHeight="15" x14ac:dyDescent="0.25"/>
  <cols>
    <col min="1" max="1" width="3.42578125" customWidth="1"/>
    <col min="2" max="2" width="9" customWidth="1"/>
    <col min="3" max="3" width="14" customWidth="1"/>
    <col min="4" max="4" width="8" bestFit="1" customWidth="1"/>
    <col min="5" max="5" width="12.7109375" customWidth="1"/>
    <col min="6" max="6" width="12.5703125" customWidth="1"/>
    <col min="7" max="8" width="9.5703125" customWidth="1"/>
    <col min="9" max="9" width="6.7109375" bestFit="1" customWidth="1"/>
    <col min="10" max="11" width="5.7109375" customWidth="1"/>
    <col min="12" max="14" width="7.140625" customWidth="1"/>
    <col min="15" max="16" width="9.28515625" style="6" customWidth="1"/>
    <col min="17" max="17" width="6.7109375" style="6" bestFit="1" customWidth="1"/>
    <col min="18" max="18" width="5" style="6" customWidth="1"/>
    <col min="19" max="19" width="5" customWidth="1"/>
    <col min="20" max="22" width="6.85546875" customWidth="1"/>
    <col min="23" max="25" width="8.7109375" style="1" customWidth="1"/>
    <col min="26" max="27" width="8.7109375" customWidth="1"/>
    <col min="28" max="28" width="7.5703125" bestFit="1" customWidth="1"/>
    <col min="29" max="30" width="9.5703125" bestFit="1" customWidth="1"/>
  </cols>
  <sheetData>
    <row r="1" spans="2:27" ht="21" x14ac:dyDescent="0.35">
      <c r="B1" s="52" t="s">
        <v>159</v>
      </c>
    </row>
    <row r="2" spans="2:27" ht="8.25" customHeight="1" x14ac:dyDescent="0.35">
      <c r="B2" s="51"/>
    </row>
    <row r="3" spans="2:27" ht="15.75" customHeight="1" x14ac:dyDescent="0.35">
      <c r="B3" s="51"/>
      <c r="G3" s="165" t="s">
        <v>38</v>
      </c>
      <c r="H3" s="165"/>
      <c r="I3" s="165"/>
      <c r="J3" s="165"/>
      <c r="K3" s="165"/>
      <c r="L3" s="165"/>
      <c r="M3" s="165"/>
      <c r="N3" s="165"/>
      <c r="O3" s="171" t="s">
        <v>40</v>
      </c>
      <c r="P3" s="171"/>
      <c r="Q3" s="171"/>
      <c r="R3" s="171"/>
      <c r="S3" s="171"/>
      <c r="T3" s="171"/>
      <c r="U3" s="171"/>
      <c r="V3" s="171"/>
    </row>
    <row r="4" spans="2:27" x14ac:dyDescent="0.25">
      <c r="G4" s="173" t="s">
        <v>63</v>
      </c>
      <c r="H4" s="174"/>
      <c r="I4" s="174"/>
      <c r="J4" s="174"/>
      <c r="K4" s="175"/>
      <c r="L4" s="172" t="s">
        <v>64</v>
      </c>
      <c r="M4" s="172"/>
      <c r="N4" s="172"/>
      <c r="O4" s="173" t="s">
        <v>63</v>
      </c>
      <c r="P4" s="174"/>
      <c r="Q4" s="174"/>
      <c r="R4" s="174"/>
      <c r="S4" s="175"/>
      <c r="T4" s="172" t="s">
        <v>64</v>
      </c>
      <c r="U4" s="172"/>
      <c r="V4" s="172"/>
      <c r="W4"/>
      <c r="X4"/>
      <c r="Y4"/>
    </row>
    <row r="5" spans="2:27" ht="90" x14ac:dyDescent="0.25">
      <c r="B5" s="21" t="s">
        <v>41</v>
      </c>
      <c r="C5" s="21" t="s">
        <v>60</v>
      </c>
      <c r="D5" s="21" t="s">
        <v>6</v>
      </c>
      <c r="E5" s="21" t="s">
        <v>37</v>
      </c>
      <c r="F5" s="21" t="s">
        <v>82</v>
      </c>
      <c r="G5" s="50" t="s">
        <v>168</v>
      </c>
      <c r="H5" s="50" t="s">
        <v>167</v>
      </c>
      <c r="I5" s="64" t="s">
        <v>97</v>
      </c>
      <c r="J5" s="65" t="s">
        <v>1</v>
      </c>
      <c r="K5" s="65" t="s">
        <v>2</v>
      </c>
      <c r="L5" s="50" t="s">
        <v>65</v>
      </c>
      <c r="M5" s="50" t="s">
        <v>66</v>
      </c>
      <c r="N5" s="68" t="s">
        <v>93</v>
      </c>
      <c r="O5" s="50" t="s">
        <v>169</v>
      </c>
      <c r="P5" s="50" t="s">
        <v>167</v>
      </c>
      <c r="Q5" s="64" t="s">
        <v>95</v>
      </c>
      <c r="R5" s="65" t="s">
        <v>1</v>
      </c>
      <c r="S5" s="65" t="s">
        <v>2</v>
      </c>
      <c r="T5" s="50" t="s">
        <v>68</v>
      </c>
      <c r="U5" s="50" t="s">
        <v>69</v>
      </c>
      <c r="V5" s="68" t="s">
        <v>191</v>
      </c>
      <c r="W5" s="50" t="s">
        <v>27</v>
      </c>
      <c r="X5" s="50" t="s">
        <v>85</v>
      </c>
      <c r="Y5" s="50" t="s">
        <v>71</v>
      </c>
      <c r="Z5" s="43" t="s">
        <v>25</v>
      </c>
      <c r="AA5" s="47" t="s">
        <v>70</v>
      </c>
    </row>
    <row r="6" spans="2:27" x14ac:dyDescent="0.25">
      <c r="B6" s="71" t="s">
        <v>43</v>
      </c>
      <c r="C6" s="22" t="s">
        <v>36</v>
      </c>
      <c r="D6" s="38">
        <v>41640</v>
      </c>
      <c r="E6" s="39" t="s">
        <v>34</v>
      </c>
      <c r="F6" s="70" t="s">
        <v>10</v>
      </c>
      <c r="G6" s="37">
        <v>36</v>
      </c>
      <c r="H6" s="37">
        <v>238</v>
      </c>
      <c r="I6" s="40">
        <f>G6/H6*1000</f>
        <v>151.26050420168067</v>
      </c>
      <c r="J6" s="53">
        <f>(I6/1000-(1.96*(SQRT(I6/1000*(1-I6/1000)/(H6-1)))))*1000</f>
        <v>105.64296264021316</v>
      </c>
      <c r="K6" s="53">
        <f>(I6/1000+(1.96*(SQRT(I6/1000*(1-I6/1000)/(H6-1)))))*1000</f>
        <v>196.87804576314815</v>
      </c>
      <c r="L6" s="37"/>
      <c r="M6" s="37"/>
      <c r="N6" s="40">
        <v>114</v>
      </c>
      <c r="O6" s="37">
        <v>6</v>
      </c>
      <c r="P6" s="37">
        <v>326</v>
      </c>
      <c r="Q6" s="40">
        <f>O6/P6*1000</f>
        <v>18.404907975460123</v>
      </c>
      <c r="R6" s="53">
        <f>(Q6/1000-(1.96*(SQRT(Q6/1000*(1-Q6/1000)/(P6-1)))))*1000</f>
        <v>3.7916380896884423</v>
      </c>
      <c r="S6" s="53">
        <f>(Q6/1000+(1.96*(SQRT(Q6/1000*(1-Q6/1000)/(P6-1)))))*1000</f>
        <v>33.018177861231806</v>
      </c>
      <c r="T6" s="37"/>
      <c r="U6" s="37"/>
      <c r="V6" s="40">
        <v>25</v>
      </c>
      <c r="W6" s="37">
        <v>6</v>
      </c>
      <c r="X6" s="37">
        <v>7</v>
      </c>
      <c r="Y6" s="37">
        <v>16</v>
      </c>
      <c r="Z6" s="41">
        <f>W6/Y6</f>
        <v>0.375</v>
      </c>
      <c r="AA6" s="41">
        <f>X6/Y6</f>
        <v>0.4375</v>
      </c>
    </row>
    <row r="7" spans="2:27" x14ac:dyDescent="0.25">
      <c r="B7" s="71" t="s">
        <v>43</v>
      </c>
      <c r="C7" s="22" t="s">
        <v>36</v>
      </c>
      <c r="D7" s="38">
        <v>41640</v>
      </c>
      <c r="E7" s="39" t="s">
        <v>45</v>
      </c>
      <c r="F7" s="70" t="s">
        <v>10</v>
      </c>
      <c r="G7" s="37">
        <v>58</v>
      </c>
      <c r="H7" s="37">
        <v>509</v>
      </c>
      <c r="I7" s="40">
        <f>G7/H7*1000</f>
        <v>113.94891944990177</v>
      </c>
      <c r="J7" s="53">
        <f>(I7/1000-(1.96*(SQRT(I7/1000*(1-I7/1000)/(H7-1)))))*1000</f>
        <v>86.317149747707191</v>
      </c>
      <c r="K7" s="53">
        <f>(I7/1000+(1.96*(SQRT(I7/1000*(1-I7/1000)/(H7-1)))))*1000</f>
        <v>141.58068915209631</v>
      </c>
      <c r="L7" s="37"/>
      <c r="M7" s="37"/>
      <c r="N7" s="42">
        <v>74</v>
      </c>
      <c r="O7" s="37">
        <v>16</v>
      </c>
      <c r="P7" s="37">
        <v>670</v>
      </c>
      <c r="Q7" s="40">
        <f>O7/P7*1000</f>
        <v>23.880597014925375</v>
      </c>
      <c r="R7" s="53">
        <f t="shared" ref="R7:R9" si="0">(Q7/1000-(1.96*(SQRT(Q7/1000*(1-Q7/1000)/(P7-1)))))*1000</f>
        <v>12.311030819102456</v>
      </c>
      <c r="S7" s="53">
        <f t="shared" ref="S7:S9" si="1">(Q7/1000+(1.96*(SQRT(Q7/1000*(1-Q7/1000)/(P7-1)))))*1000</f>
        <v>35.450163210748286</v>
      </c>
      <c r="T7" s="37"/>
      <c r="U7" s="37"/>
      <c r="V7" s="40">
        <v>24</v>
      </c>
      <c r="W7" s="37">
        <v>18</v>
      </c>
      <c r="X7" s="37">
        <v>12</v>
      </c>
      <c r="Y7" s="37">
        <v>36</v>
      </c>
      <c r="Z7" s="41">
        <f>W7/Y7</f>
        <v>0.5</v>
      </c>
      <c r="AA7" s="41">
        <f>X7/Y7</f>
        <v>0.33333333333333331</v>
      </c>
    </row>
    <row r="8" spans="2:27" x14ac:dyDescent="0.25">
      <c r="B8" s="71" t="s">
        <v>43</v>
      </c>
      <c r="C8" s="22" t="s">
        <v>36</v>
      </c>
      <c r="D8" s="38">
        <v>41640</v>
      </c>
      <c r="E8" s="39" t="s">
        <v>32</v>
      </c>
      <c r="F8" s="73" t="s">
        <v>81</v>
      </c>
      <c r="G8" s="37">
        <v>39</v>
      </c>
      <c r="H8" s="37">
        <v>253</v>
      </c>
      <c r="I8" s="40">
        <f>G8/H8*1000</f>
        <v>154.1501976284585</v>
      </c>
      <c r="J8" s="53">
        <f>(I8/1000-(1.96*(SQRT(I8/1000*(1-I8/1000)/(H8-1)))))*1000</f>
        <v>109.56666575577856</v>
      </c>
      <c r="K8" s="53">
        <f>(I8/1000+(1.96*(SQRT(I8/1000*(1-I8/1000)/(H8-1)))))*1000</f>
        <v>198.73372950113844</v>
      </c>
      <c r="L8" s="37"/>
      <c r="M8" s="37"/>
      <c r="N8" s="40">
        <v>110</v>
      </c>
      <c r="O8" s="37">
        <v>10</v>
      </c>
      <c r="P8" s="37">
        <v>318</v>
      </c>
      <c r="Q8" s="40">
        <f>O8/P8*1000</f>
        <v>31.446540880503143</v>
      </c>
      <c r="R8" s="53">
        <f t="shared" si="0"/>
        <v>12.234447957848205</v>
      </c>
      <c r="S8" s="53">
        <f t="shared" si="1"/>
        <v>50.658633803158082</v>
      </c>
      <c r="T8" s="37"/>
      <c r="U8" s="37"/>
      <c r="V8" s="40">
        <v>33</v>
      </c>
      <c r="W8" s="37">
        <v>8</v>
      </c>
      <c r="X8" s="37">
        <v>8</v>
      </c>
      <c r="Y8" s="37">
        <v>23</v>
      </c>
      <c r="Z8" s="41">
        <f>W8/Y8</f>
        <v>0.34782608695652173</v>
      </c>
      <c r="AA8" s="41">
        <f>X8/Y8</f>
        <v>0.34782608695652173</v>
      </c>
    </row>
    <row r="9" spans="2:27" x14ac:dyDescent="0.25">
      <c r="B9" s="71" t="s">
        <v>43</v>
      </c>
      <c r="C9" s="22" t="s">
        <v>35</v>
      </c>
      <c r="D9" s="38">
        <v>42064</v>
      </c>
      <c r="E9" s="39" t="s">
        <v>46</v>
      </c>
      <c r="F9" s="70" t="s">
        <v>10</v>
      </c>
      <c r="G9" s="37">
        <v>47</v>
      </c>
      <c r="H9" s="37">
        <v>557</v>
      </c>
      <c r="I9" s="40">
        <f>G9/H9*1000</f>
        <v>84.380610412926401</v>
      </c>
      <c r="J9" s="53">
        <f>(I9/1000-(1.96*(SQRT(I9/1000*(1-I9/1000)/(H9-1)))))*1000</f>
        <v>61.276061312676028</v>
      </c>
      <c r="K9" s="53">
        <f>(I9/1000+(1.96*(SQRT(I9/1000*(1-I9/1000)/(H9-1)))))*1000</f>
        <v>107.48515951317677</v>
      </c>
      <c r="L9" s="37"/>
      <c r="M9" s="37"/>
      <c r="N9" s="40">
        <v>60</v>
      </c>
      <c r="O9" s="37">
        <v>17</v>
      </c>
      <c r="P9" s="37">
        <v>771</v>
      </c>
      <c r="Q9" s="40">
        <f>O9/P9*1000</f>
        <v>22.049286640726329</v>
      </c>
      <c r="R9" s="53">
        <f t="shared" si="0"/>
        <v>11.677192155596993</v>
      </c>
      <c r="S9" s="53">
        <f t="shared" si="1"/>
        <v>32.421381125855675</v>
      </c>
      <c r="T9" s="37"/>
      <c r="U9" s="37"/>
      <c r="V9" s="40">
        <v>22</v>
      </c>
      <c r="W9" s="37">
        <v>14</v>
      </c>
      <c r="X9" s="37">
        <v>14</v>
      </c>
      <c r="Y9" s="37">
        <v>38</v>
      </c>
      <c r="Z9" s="41">
        <f>W9/Y9</f>
        <v>0.36842105263157893</v>
      </c>
      <c r="AA9" s="41">
        <f>X9/Y9</f>
        <v>0.36842105263157893</v>
      </c>
    </row>
    <row r="10" spans="2:27" x14ac:dyDescent="0.25">
      <c r="B10" s="71" t="s">
        <v>43</v>
      </c>
      <c r="C10" s="22" t="s">
        <v>35</v>
      </c>
      <c r="D10" s="38">
        <v>42064</v>
      </c>
      <c r="E10" s="39" t="s">
        <v>47</v>
      </c>
      <c r="F10" s="70" t="s">
        <v>10</v>
      </c>
      <c r="G10" s="37"/>
      <c r="H10" s="37"/>
      <c r="I10" s="40">
        <v>101</v>
      </c>
      <c r="J10" s="53"/>
      <c r="K10" s="53"/>
      <c r="L10" s="37"/>
      <c r="M10" s="37"/>
      <c r="N10" s="40"/>
      <c r="O10" s="37"/>
      <c r="P10" s="37"/>
      <c r="Q10" s="40"/>
      <c r="R10" s="53"/>
      <c r="S10" s="53"/>
      <c r="T10" s="37"/>
      <c r="U10" s="37"/>
      <c r="V10" s="40"/>
      <c r="W10" s="37"/>
      <c r="X10" s="37"/>
      <c r="Y10" s="37"/>
      <c r="Z10" s="41"/>
      <c r="AA10" s="41"/>
    </row>
    <row r="11" spans="2:27" x14ac:dyDescent="0.25">
      <c r="B11" s="71" t="s">
        <v>43</v>
      </c>
      <c r="C11" s="22" t="s">
        <v>35</v>
      </c>
      <c r="D11" s="38">
        <v>42064</v>
      </c>
      <c r="E11" s="39" t="s">
        <v>48</v>
      </c>
      <c r="F11" s="73" t="s">
        <v>81</v>
      </c>
      <c r="G11" s="37"/>
      <c r="H11" s="37"/>
      <c r="I11" s="40">
        <v>81</v>
      </c>
      <c r="J11" s="53"/>
      <c r="K11" s="53"/>
      <c r="L11" s="37"/>
      <c r="M11" s="37"/>
      <c r="N11" s="40"/>
      <c r="O11" s="37"/>
      <c r="P11" s="37"/>
      <c r="Q11" s="40"/>
      <c r="R11" s="53"/>
      <c r="S11" s="53"/>
      <c r="T11" s="37"/>
      <c r="U11" s="37"/>
      <c r="V11" s="40"/>
      <c r="W11" s="37"/>
      <c r="X11" s="37"/>
      <c r="Y11" s="37"/>
      <c r="Z11" s="41"/>
      <c r="AA11" s="41"/>
    </row>
    <row r="12" spans="2:27" x14ac:dyDescent="0.25">
      <c r="B12" s="71" t="s">
        <v>43</v>
      </c>
      <c r="C12" s="22" t="s">
        <v>36</v>
      </c>
      <c r="D12" s="38">
        <v>43862</v>
      </c>
      <c r="E12" s="39" t="s">
        <v>34</v>
      </c>
      <c r="F12" s="72" t="s">
        <v>11</v>
      </c>
      <c r="G12" s="37">
        <v>42</v>
      </c>
      <c r="H12" s="37">
        <v>431</v>
      </c>
      <c r="I12" s="40">
        <f t="shared" ref="I12:I17" si="2">G12/H12*1000</f>
        <v>97.447795823665885</v>
      </c>
      <c r="J12" s="53">
        <f t="shared" ref="J12:J17" si="3">(I12/1000-(1.96*(SQRT(I12/1000*(1-I12/1000)/(H12-1)))))*1000</f>
        <v>69.416445486500137</v>
      </c>
      <c r="K12" s="53">
        <f t="shared" ref="K12:K17" si="4">(I12/1000+(1.96*(SQRT(I12/1000*(1-I12/1000)/(H12-1)))))*1000</f>
        <v>125.47914616083163</v>
      </c>
      <c r="L12" s="37"/>
      <c r="M12" s="37"/>
      <c r="N12" s="40">
        <v>33</v>
      </c>
      <c r="O12" s="37">
        <v>8</v>
      </c>
      <c r="P12" s="37">
        <v>592</v>
      </c>
      <c r="Q12" s="40">
        <f t="shared" ref="Q12:Q17" si="5">O12/P12*1000</f>
        <v>13.513513513513514</v>
      </c>
      <c r="R12" s="53">
        <f t="shared" ref="R12:R17" si="6">(Q12/1000-(1.96*(SQRT(Q12/1000*(1-Q12/1000)/(P12-1)))))*1000</f>
        <v>4.2047490584208242</v>
      </c>
      <c r="S12" s="53">
        <f t="shared" ref="S12:S17" si="7">(Q12/1000+(1.96*(SQRT(Q12/1000*(1-Q12/1000)/(P12-1)))))*1000</f>
        <v>22.822277968606205</v>
      </c>
      <c r="T12" s="37">
        <v>6.5</v>
      </c>
      <c r="U12" s="37">
        <v>583</v>
      </c>
      <c r="V12" s="40">
        <f>T12/U12*1000</f>
        <v>11.149228130360205</v>
      </c>
      <c r="W12" s="37">
        <v>5</v>
      </c>
      <c r="X12" s="37">
        <v>5</v>
      </c>
      <c r="Y12" s="37">
        <v>13</v>
      </c>
      <c r="Z12" s="41">
        <f t="shared" ref="Z12:Z17" si="8">W12/Y12</f>
        <v>0.38461538461538464</v>
      </c>
      <c r="AA12" s="41">
        <f t="shared" ref="AA12:AA17" si="9">X12/Y12</f>
        <v>0.38461538461538464</v>
      </c>
    </row>
    <row r="13" spans="2:27" x14ac:dyDescent="0.25">
      <c r="B13" s="71" t="s">
        <v>43</v>
      </c>
      <c r="C13" s="22" t="s">
        <v>36</v>
      </c>
      <c r="D13" s="38">
        <v>43862</v>
      </c>
      <c r="E13" s="39" t="s">
        <v>45</v>
      </c>
      <c r="F13" s="72" t="s">
        <v>11</v>
      </c>
      <c r="G13" s="37">
        <v>47</v>
      </c>
      <c r="H13" s="37">
        <v>389</v>
      </c>
      <c r="I13" s="40">
        <f t="shared" si="2"/>
        <v>120.82262210796915</v>
      </c>
      <c r="J13" s="53">
        <f t="shared" si="3"/>
        <v>88.392200908882714</v>
      </c>
      <c r="K13" s="53">
        <f t="shared" si="4"/>
        <v>153.25304330705558</v>
      </c>
      <c r="L13" s="37"/>
      <c r="M13" s="37"/>
      <c r="N13" s="40">
        <v>53</v>
      </c>
      <c r="O13" s="37">
        <v>12</v>
      </c>
      <c r="P13" s="37">
        <v>588</v>
      </c>
      <c r="Q13" s="40">
        <f t="shared" si="5"/>
        <v>20.408163265306122</v>
      </c>
      <c r="R13" s="53">
        <f t="shared" si="6"/>
        <v>8.9698612505287247</v>
      </c>
      <c r="S13" s="53">
        <f t="shared" si="7"/>
        <v>31.846465280083518</v>
      </c>
      <c r="T13" s="37">
        <v>12</v>
      </c>
      <c r="U13" s="37">
        <v>599</v>
      </c>
      <c r="V13" s="40">
        <f>T13/U13*1000</f>
        <v>20.033388981636058</v>
      </c>
      <c r="W13" s="37">
        <v>6</v>
      </c>
      <c r="X13" s="37">
        <v>9</v>
      </c>
      <c r="Y13" s="37">
        <v>24</v>
      </c>
      <c r="Z13" s="41">
        <f t="shared" si="8"/>
        <v>0.25</v>
      </c>
      <c r="AA13" s="41">
        <f t="shared" si="9"/>
        <v>0.375</v>
      </c>
    </row>
    <row r="14" spans="2:27" x14ac:dyDescent="0.25">
      <c r="B14" s="71" t="s">
        <v>43</v>
      </c>
      <c r="C14" s="22" t="s">
        <v>36</v>
      </c>
      <c r="D14" s="38">
        <v>43862</v>
      </c>
      <c r="E14" s="39" t="s">
        <v>32</v>
      </c>
      <c r="F14" s="70" t="s">
        <v>83</v>
      </c>
      <c r="G14" s="37">
        <v>31</v>
      </c>
      <c r="H14" s="37">
        <v>374</v>
      </c>
      <c r="I14" s="40">
        <f t="shared" si="2"/>
        <v>82.887700534759361</v>
      </c>
      <c r="J14" s="53">
        <f t="shared" si="3"/>
        <v>54.907040154860638</v>
      </c>
      <c r="K14" s="53">
        <f t="shared" si="4"/>
        <v>110.86836091465807</v>
      </c>
      <c r="L14" s="37"/>
      <c r="M14" s="37"/>
      <c r="N14" s="40">
        <v>48</v>
      </c>
      <c r="O14" s="37">
        <v>14</v>
      </c>
      <c r="P14" s="37">
        <v>573</v>
      </c>
      <c r="Q14" s="40">
        <f t="shared" si="5"/>
        <v>24.432809773123907</v>
      </c>
      <c r="R14" s="53">
        <f t="shared" si="6"/>
        <v>11.780396858729018</v>
      </c>
      <c r="S14" s="53">
        <f t="shared" si="7"/>
        <v>37.085222687518801</v>
      </c>
      <c r="T14" s="37">
        <v>14</v>
      </c>
      <c r="U14" s="37">
        <v>579</v>
      </c>
      <c r="V14" s="40">
        <f>T14/U14*1000</f>
        <v>24.179620034542317</v>
      </c>
      <c r="W14" s="37">
        <v>7</v>
      </c>
      <c r="X14" s="37">
        <v>14</v>
      </c>
      <c r="Y14" s="37">
        <v>24</v>
      </c>
      <c r="Z14" s="41">
        <f t="shared" si="8"/>
        <v>0.29166666666666669</v>
      </c>
      <c r="AA14" s="41">
        <f t="shared" si="9"/>
        <v>0.58333333333333337</v>
      </c>
    </row>
    <row r="15" spans="2:27" x14ac:dyDescent="0.25">
      <c r="B15" s="71" t="s">
        <v>43</v>
      </c>
      <c r="C15" s="22" t="s">
        <v>36</v>
      </c>
      <c r="D15" s="38">
        <v>43862</v>
      </c>
      <c r="E15" s="39" t="s">
        <v>33</v>
      </c>
      <c r="F15" s="70" t="s">
        <v>10</v>
      </c>
      <c r="G15" s="37">
        <v>25</v>
      </c>
      <c r="H15" s="37">
        <v>399</v>
      </c>
      <c r="I15" s="40">
        <f t="shared" si="2"/>
        <v>62.656641604010019</v>
      </c>
      <c r="J15" s="53">
        <f t="shared" si="3"/>
        <v>38.847296766787885</v>
      </c>
      <c r="K15" s="53">
        <f t="shared" si="4"/>
        <v>86.465986441232161</v>
      </c>
      <c r="L15" s="37"/>
      <c r="M15" s="37"/>
      <c r="N15" s="40">
        <v>36</v>
      </c>
      <c r="O15" s="37">
        <v>10</v>
      </c>
      <c r="P15" s="37">
        <v>591</v>
      </c>
      <c r="Q15" s="40">
        <f t="shared" si="5"/>
        <v>16.920473773265652</v>
      </c>
      <c r="R15" s="53">
        <f t="shared" si="6"/>
        <v>6.5133516501939495</v>
      </c>
      <c r="S15" s="53">
        <f t="shared" si="7"/>
        <v>27.327595896337353</v>
      </c>
      <c r="T15" s="37">
        <v>10</v>
      </c>
      <c r="U15" s="37">
        <v>605.5</v>
      </c>
      <c r="V15" s="40">
        <f>T15/U15*1000</f>
        <v>16.515276630883566</v>
      </c>
      <c r="W15" s="37">
        <v>1</v>
      </c>
      <c r="X15" s="37">
        <v>9</v>
      </c>
      <c r="Y15" s="37">
        <v>18</v>
      </c>
      <c r="Z15" s="41">
        <f t="shared" si="8"/>
        <v>5.5555555555555552E-2</v>
      </c>
      <c r="AA15" s="41">
        <f t="shared" si="9"/>
        <v>0.5</v>
      </c>
    </row>
    <row r="16" spans="2:27" x14ac:dyDescent="0.25">
      <c r="B16" s="71" t="s">
        <v>43</v>
      </c>
      <c r="C16" s="22" t="s">
        <v>36</v>
      </c>
      <c r="D16" s="38">
        <v>43862</v>
      </c>
      <c r="E16" s="39" t="s">
        <v>49</v>
      </c>
      <c r="F16" s="73" t="s">
        <v>81</v>
      </c>
      <c r="G16" s="37">
        <v>32</v>
      </c>
      <c r="H16" s="37">
        <v>390</v>
      </c>
      <c r="I16" s="40">
        <f t="shared" si="2"/>
        <v>82.051282051282058</v>
      </c>
      <c r="J16" s="53">
        <f t="shared" si="3"/>
        <v>54.778266121553656</v>
      </c>
      <c r="K16" s="53">
        <f t="shared" si="4"/>
        <v>109.32429798101049</v>
      </c>
      <c r="L16" s="37"/>
      <c r="M16" s="37"/>
      <c r="N16" s="40">
        <v>51</v>
      </c>
      <c r="O16" s="37">
        <v>13</v>
      </c>
      <c r="P16" s="37">
        <v>602</v>
      </c>
      <c r="Q16" s="40">
        <f t="shared" si="5"/>
        <v>21.59468438538206</v>
      </c>
      <c r="R16" s="53">
        <f t="shared" si="6"/>
        <v>9.9734658624623016</v>
      </c>
      <c r="S16" s="53">
        <f t="shared" si="7"/>
        <v>33.215902908301814</v>
      </c>
      <c r="T16" s="37">
        <v>13</v>
      </c>
      <c r="U16" s="37">
        <v>616.5</v>
      </c>
      <c r="V16" s="40">
        <f>T16/U16*1000</f>
        <v>21.086780210867801</v>
      </c>
      <c r="W16" s="37">
        <v>9</v>
      </c>
      <c r="X16" s="37">
        <v>12</v>
      </c>
      <c r="Y16" s="37">
        <v>22</v>
      </c>
      <c r="Z16" s="41">
        <f t="shared" si="8"/>
        <v>0.40909090909090912</v>
      </c>
      <c r="AA16" s="41">
        <f t="shared" si="9"/>
        <v>0.54545454545454541</v>
      </c>
    </row>
    <row r="17" spans="2:27" x14ac:dyDescent="0.25">
      <c r="B17" s="71" t="s">
        <v>43</v>
      </c>
      <c r="C17" s="22" t="s">
        <v>35</v>
      </c>
      <c r="D17" s="38">
        <v>43891</v>
      </c>
      <c r="E17" s="39" t="s">
        <v>46</v>
      </c>
      <c r="F17" s="72" t="s">
        <v>11</v>
      </c>
      <c r="G17" s="37">
        <v>25</v>
      </c>
      <c r="H17" s="37">
        <v>437</v>
      </c>
      <c r="I17" s="40">
        <f t="shared" si="2"/>
        <v>57.208237986270028</v>
      </c>
      <c r="J17" s="53">
        <f t="shared" si="3"/>
        <v>35.408563833486355</v>
      </c>
      <c r="K17" s="53">
        <f t="shared" si="4"/>
        <v>79.007912139053701</v>
      </c>
      <c r="L17" s="37"/>
      <c r="M17" s="37"/>
      <c r="N17" s="40">
        <v>38</v>
      </c>
      <c r="O17" s="37">
        <v>10</v>
      </c>
      <c r="P17" s="37">
        <v>422</v>
      </c>
      <c r="Q17" s="40">
        <f t="shared" si="5"/>
        <v>23.696682464454973</v>
      </c>
      <c r="R17" s="53">
        <f t="shared" si="6"/>
        <v>9.167165361896414</v>
      </c>
      <c r="S17" s="53">
        <f t="shared" si="7"/>
        <v>38.226199567013538</v>
      </c>
      <c r="T17" s="37"/>
      <c r="U17" s="37"/>
      <c r="V17" s="40">
        <v>24</v>
      </c>
      <c r="W17" s="37">
        <v>4</v>
      </c>
      <c r="X17" s="37">
        <v>5</v>
      </c>
      <c r="Y17" s="37">
        <v>18</v>
      </c>
      <c r="Z17" s="41">
        <f t="shared" si="8"/>
        <v>0.22222222222222221</v>
      </c>
      <c r="AA17" s="41">
        <f t="shared" si="9"/>
        <v>0.27777777777777779</v>
      </c>
    </row>
    <row r="18" spans="2:27" x14ac:dyDescent="0.25">
      <c r="B18" s="69" t="s">
        <v>57</v>
      </c>
      <c r="C18" s="22" t="s">
        <v>52</v>
      </c>
      <c r="D18" s="54">
        <v>2016</v>
      </c>
      <c r="E18" s="39" t="s">
        <v>73</v>
      </c>
      <c r="F18" s="70" t="s">
        <v>10</v>
      </c>
      <c r="G18" s="37">
        <v>54</v>
      </c>
      <c r="H18" s="37">
        <v>532</v>
      </c>
      <c r="I18" s="40">
        <f t="shared" ref="I18:I25" si="10">G18/H18*1000</f>
        <v>101.50375939849623</v>
      </c>
      <c r="J18" s="53">
        <f t="shared" ref="J18:J25" si="11">(I18/1000-(1.96*(SQRT(I18/1000*(1-I18/1000)/(H18-1)))))*1000</f>
        <v>75.817077544328782</v>
      </c>
      <c r="K18" s="53">
        <f t="shared" ref="K18:K25" si="12">(I18/1000+(1.96*(SQRT(I18/1000*(1-I18/1000)/(H18-1)))))*1000</f>
        <v>127.19044125266369</v>
      </c>
      <c r="L18" s="37"/>
      <c r="M18" s="37"/>
      <c r="N18" s="40"/>
      <c r="O18" s="37">
        <v>13</v>
      </c>
      <c r="P18" s="37">
        <v>743</v>
      </c>
      <c r="Q18" s="40">
        <f t="shared" ref="Q18:Q24" si="13">O18/P18*1000</f>
        <v>17.496635262449526</v>
      </c>
      <c r="R18" s="53">
        <f t="shared" ref="R18:R25" si="14">(Q18/1000-(1.96*(SQRT(Q18/1000*(1-Q18/1000)/(P18-1)))))*1000</f>
        <v>8.0625801029824427</v>
      </c>
      <c r="S18" s="53">
        <f t="shared" ref="S18:S25" si="15">(Q18/1000+(1.96*(SQRT(Q18/1000*(1-Q18/1000)/(P18-1)))))*1000</f>
        <v>26.930690421916612</v>
      </c>
      <c r="T18" s="37"/>
      <c r="U18" s="37"/>
      <c r="V18" s="40"/>
      <c r="W18" s="37"/>
      <c r="X18" s="37"/>
      <c r="Y18" s="37"/>
      <c r="Z18" s="41"/>
      <c r="AA18" s="41"/>
    </row>
    <row r="19" spans="2:27" x14ac:dyDescent="0.25">
      <c r="B19" s="69" t="s">
        <v>57</v>
      </c>
      <c r="C19" s="22" t="s">
        <v>52</v>
      </c>
      <c r="D19" s="54">
        <v>2016</v>
      </c>
      <c r="E19" s="39" t="s">
        <v>75</v>
      </c>
      <c r="F19" s="70" t="s">
        <v>10</v>
      </c>
      <c r="G19" s="37">
        <v>63</v>
      </c>
      <c r="H19" s="37">
        <v>455</v>
      </c>
      <c r="I19" s="40">
        <f t="shared" si="10"/>
        <v>138.46153846153848</v>
      </c>
      <c r="J19" s="53">
        <f t="shared" si="11"/>
        <v>106.69059903853362</v>
      </c>
      <c r="K19" s="53">
        <f t="shared" si="12"/>
        <v>170.23247788454333</v>
      </c>
      <c r="L19" s="37"/>
      <c r="M19" s="37"/>
      <c r="N19" s="40"/>
      <c r="O19" s="37">
        <v>13</v>
      </c>
      <c r="P19" s="37">
        <v>824</v>
      </c>
      <c r="Q19" s="40">
        <f t="shared" si="13"/>
        <v>15.776699029126213</v>
      </c>
      <c r="R19" s="53">
        <f t="shared" si="14"/>
        <v>7.2631420831008029</v>
      </c>
      <c r="S19" s="53">
        <f t="shared" si="15"/>
        <v>24.290255975151624</v>
      </c>
      <c r="T19" s="37"/>
      <c r="U19" s="37"/>
      <c r="V19" s="40"/>
      <c r="W19" s="37"/>
      <c r="X19" s="37"/>
      <c r="Y19" s="37"/>
      <c r="Z19" s="41"/>
      <c r="AA19" s="41"/>
    </row>
    <row r="20" spans="2:27" x14ac:dyDescent="0.25">
      <c r="B20" s="69" t="s">
        <v>57</v>
      </c>
      <c r="C20" s="22" t="s">
        <v>52</v>
      </c>
      <c r="D20" s="54">
        <v>2018</v>
      </c>
      <c r="E20" s="39" t="s">
        <v>73</v>
      </c>
      <c r="F20" s="72" t="s">
        <v>11</v>
      </c>
      <c r="G20" s="37">
        <v>32</v>
      </c>
      <c r="H20" s="37">
        <v>512</v>
      </c>
      <c r="I20" s="40">
        <f t="shared" si="10"/>
        <v>62.5</v>
      </c>
      <c r="J20" s="53">
        <f t="shared" si="11"/>
        <v>41.511989724071846</v>
      </c>
      <c r="K20" s="53">
        <f t="shared" si="12"/>
        <v>83.488010275928161</v>
      </c>
      <c r="L20" s="37"/>
      <c r="M20" s="37"/>
      <c r="N20" s="40">
        <v>39</v>
      </c>
      <c r="O20" s="37">
        <v>8</v>
      </c>
      <c r="P20" s="37">
        <v>509</v>
      </c>
      <c r="Q20" s="40">
        <f t="shared" si="13"/>
        <v>15.717092337917483</v>
      </c>
      <c r="R20" s="53">
        <f t="shared" si="14"/>
        <v>4.9010024136815611</v>
      </c>
      <c r="S20" s="53">
        <f t="shared" si="15"/>
        <v>26.533182262153407</v>
      </c>
      <c r="T20" s="37"/>
      <c r="U20" s="37"/>
      <c r="V20" s="40">
        <v>15</v>
      </c>
      <c r="W20" s="37"/>
      <c r="X20" s="37"/>
      <c r="Y20" s="37"/>
      <c r="Z20" s="41"/>
      <c r="AA20" s="41"/>
    </row>
    <row r="21" spans="2:27" x14ac:dyDescent="0.25">
      <c r="B21" s="69" t="s">
        <v>57</v>
      </c>
      <c r="C21" s="22" t="s">
        <v>52</v>
      </c>
      <c r="D21" s="54">
        <v>2018</v>
      </c>
      <c r="E21" s="39" t="s">
        <v>75</v>
      </c>
      <c r="F21" s="72" t="s">
        <v>11</v>
      </c>
      <c r="G21" s="37">
        <v>21</v>
      </c>
      <c r="H21" s="37">
        <v>518</v>
      </c>
      <c r="I21" s="40">
        <f t="shared" si="10"/>
        <v>40.54054054054054</v>
      </c>
      <c r="J21" s="53">
        <f t="shared" si="11"/>
        <v>23.539759192985617</v>
      </c>
      <c r="K21" s="53">
        <f t="shared" si="12"/>
        <v>57.541321888095467</v>
      </c>
      <c r="L21" s="37"/>
      <c r="M21" s="37"/>
      <c r="N21" s="40">
        <v>78</v>
      </c>
      <c r="O21" s="37">
        <v>19</v>
      </c>
      <c r="P21" s="37">
        <v>582</v>
      </c>
      <c r="Q21" s="40">
        <f t="shared" si="13"/>
        <v>32.646048109965641</v>
      </c>
      <c r="R21" s="53">
        <f t="shared" si="14"/>
        <v>18.195776228319978</v>
      </c>
      <c r="S21" s="53">
        <f t="shared" si="15"/>
        <v>47.096319991611296</v>
      </c>
      <c r="T21" s="37"/>
      <c r="U21" s="37"/>
      <c r="V21" s="40">
        <v>30</v>
      </c>
      <c r="W21" s="37"/>
      <c r="X21" s="37"/>
      <c r="Y21" s="37"/>
      <c r="Z21" s="41"/>
      <c r="AA21" s="41"/>
    </row>
    <row r="22" spans="2:27" x14ac:dyDescent="0.25">
      <c r="B22" s="69" t="s">
        <v>57</v>
      </c>
      <c r="C22" s="22" t="s">
        <v>50</v>
      </c>
      <c r="D22" s="54">
        <v>2016</v>
      </c>
      <c r="E22" s="39" t="s">
        <v>74</v>
      </c>
      <c r="F22" s="70" t="s">
        <v>10</v>
      </c>
      <c r="G22" s="37"/>
      <c r="H22" s="37"/>
      <c r="I22" s="40"/>
      <c r="J22" s="53"/>
      <c r="K22" s="53"/>
      <c r="L22" s="37"/>
      <c r="M22" s="37"/>
      <c r="N22" s="40"/>
      <c r="O22" s="37"/>
      <c r="P22" s="37"/>
      <c r="Q22" s="40"/>
      <c r="R22" s="53"/>
      <c r="S22" s="53"/>
      <c r="T22" s="37"/>
      <c r="U22" s="37"/>
      <c r="V22" s="40"/>
      <c r="W22" s="37"/>
      <c r="X22" s="37"/>
      <c r="Y22" s="37"/>
      <c r="Z22" s="41"/>
      <c r="AA22" s="41"/>
    </row>
    <row r="23" spans="2:27" x14ac:dyDescent="0.25">
      <c r="B23" s="69" t="s">
        <v>57</v>
      </c>
      <c r="C23" s="22" t="s">
        <v>50</v>
      </c>
      <c r="D23" s="54">
        <v>2016</v>
      </c>
      <c r="E23" s="39" t="s">
        <v>75</v>
      </c>
      <c r="F23" s="70" t="s">
        <v>10</v>
      </c>
      <c r="G23" s="37"/>
      <c r="H23" s="37"/>
      <c r="I23" s="40"/>
      <c r="J23" s="53"/>
      <c r="K23" s="53"/>
      <c r="L23" s="37"/>
      <c r="M23" s="37"/>
      <c r="N23" s="40"/>
      <c r="O23" s="37"/>
      <c r="P23" s="37"/>
      <c r="Q23" s="40"/>
      <c r="R23" s="53"/>
      <c r="S23" s="53"/>
      <c r="T23" s="37"/>
      <c r="U23" s="37"/>
      <c r="V23" s="40"/>
      <c r="W23" s="37"/>
      <c r="X23" s="37"/>
      <c r="Y23" s="37"/>
      <c r="Z23" s="41"/>
      <c r="AA23" s="41"/>
    </row>
    <row r="24" spans="2:27" x14ac:dyDescent="0.25">
      <c r="B24" s="69" t="s">
        <v>57</v>
      </c>
      <c r="C24" s="22" t="s">
        <v>50</v>
      </c>
      <c r="D24" s="54">
        <v>2018</v>
      </c>
      <c r="E24" s="39" t="s">
        <v>72</v>
      </c>
      <c r="F24" s="72" t="s">
        <v>11</v>
      </c>
      <c r="G24" s="37">
        <v>49</v>
      </c>
      <c r="H24" s="37">
        <v>451</v>
      </c>
      <c r="I24" s="40">
        <f t="shared" si="10"/>
        <v>108.64745011086474</v>
      </c>
      <c r="J24" s="53">
        <f t="shared" si="11"/>
        <v>79.894372331624922</v>
      </c>
      <c r="K24" s="53">
        <f t="shared" si="12"/>
        <v>137.40052789010457</v>
      </c>
      <c r="L24" s="37"/>
      <c r="M24" s="37"/>
      <c r="N24" s="40">
        <v>80</v>
      </c>
      <c r="O24" s="37">
        <v>2</v>
      </c>
      <c r="P24" s="37">
        <v>556</v>
      </c>
      <c r="Q24" s="40">
        <f t="shared" si="13"/>
        <v>3.5971223021582737</v>
      </c>
      <c r="R24" s="53">
        <f t="shared" si="14"/>
        <v>-1.3837415224667633</v>
      </c>
      <c r="S24" s="53">
        <f t="shared" si="15"/>
        <v>8.5779861267833102</v>
      </c>
      <c r="T24" s="37"/>
      <c r="U24" s="37"/>
      <c r="V24" s="40">
        <v>16</v>
      </c>
      <c r="W24" s="37"/>
      <c r="X24" s="37"/>
      <c r="Y24" s="37"/>
      <c r="Z24" s="41"/>
      <c r="AA24" s="41"/>
    </row>
    <row r="25" spans="2:27" x14ac:dyDescent="0.25">
      <c r="B25" s="69" t="s">
        <v>57</v>
      </c>
      <c r="C25" s="22" t="s">
        <v>50</v>
      </c>
      <c r="D25" s="54">
        <v>2018</v>
      </c>
      <c r="E25" s="39" t="s">
        <v>75</v>
      </c>
      <c r="F25" s="72" t="s">
        <v>11</v>
      </c>
      <c r="G25" s="37">
        <v>49</v>
      </c>
      <c r="H25" s="37">
        <v>471</v>
      </c>
      <c r="I25" s="40">
        <f t="shared" si="10"/>
        <v>104.0339702760085</v>
      </c>
      <c r="J25" s="53">
        <f t="shared" si="11"/>
        <v>76.431973503687814</v>
      </c>
      <c r="K25" s="53">
        <f t="shared" si="12"/>
        <v>131.63596704832918</v>
      </c>
      <c r="L25" s="37"/>
      <c r="M25" s="37"/>
      <c r="N25" s="40">
        <v>80</v>
      </c>
      <c r="O25" s="37">
        <v>9</v>
      </c>
      <c r="P25" s="37">
        <v>588</v>
      </c>
      <c r="Q25" s="40">
        <f>O25/P25*1000</f>
        <v>15.306122448979592</v>
      </c>
      <c r="R25" s="53">
        <f t="shared" si="14"/>
        <v>5.3744993193104769</v>
      </c>
      <c r="S25" s="53">
        <f t="shared" si="15"/>
        <v>25.237745578648703</v>
      </c>
      <c r="T25" s="37"/>
      <c r="U25" s="37"/>
      <c r="V25" s="40">
        <v>3</v>
      </c>
      <c r="W25" s="37"/>
      <c r="X25" s="37"/>
      <c r="Y25" s="37"/>
      <c r="Z25" s="41"/>
      <c r="AA25" s="41"/>
    </row>
  </sheetData>
  <mergeCells count="6">
    <mergeCell ref="G3:N3"/>
    <mergeCell ref="O3:V3"/>
    <mergeCell ref="L4:N4"/>
    <mergeCell ref="T4:V4"/>
    <mergeCell ref="G4:K4"/>
    <mergeCell ref="O4:S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K14"/>
  <sheetViews>
    <sheetView showGridLines="0" workbookViewId="0">
      <selection activeCell="R3" sqref="R3"/>
    </sheetView>
  </sheetViews>
  <sheetFormatPr baseColWidth="10" defaultRowHeight="15" x14ac:dyDescent="0.25"/>
  <cols>
    <col min="1" max="1" width="4.28515625" customWidth="1"/>
    <col min="2" max="2" width="12.140625" customWidth="1"/>
    <col min="3" max="5" width="11.85546875" customWidth="1"/>
    <col min="6" max="6" width="13" customWidth="1"/>
    <col min="7" max="7" width="6.140625" style="6" bestFit="1" customWidth="1"/>
    <col min="8" max="8" width="13" style="6" customWidth="1"/>
    <col min="9" max="9" width="9.28515625" style="6" customWidth="1"/>
    <col min="10" max="10" width="10.28515625" style="6" customWidth="1"/>
    <col min="11" max="11" width="1.5703125" style="6" customWidth="1"/>
    <col min="12" max="12" width="13" customWidth="1"/>
    <col min="13" max="13" width="6.140625" bestFit="1" customWidth="1"/>
    <col min="14" max="14" width="12.28515625" bestFit="1" customWidth="1"/>
    <col min="15" max="15" width="8.85546875" customWidth="1"/>
    <col min="16" max="16" width="9.5703125" customWidth="1"/>
    <col min="17" max="18" width="11.42578125" style="1"/>
  </cols>
  <sheetData>
    <row r="1" spans="2:37" ht="21" x14ac:dyDescent="0.35">
      <c r="B1" s="52" t="s">
        <v>192</v>
      </c>
      <c r="G1"/>
      <c r="H1"/>
      <c r="I1"/>
      <c r="J1"/>
      <c r="K1"/>
      <c r="Q1"/>
      <c r="R1"/>
      <c r="U1" s="6"/>
      <c r="V1" s="6"/>
      <c r="W1" s="6"/>
      <c r="X1" s="6"/>
      <c r="Y1" s="6"/>
      <c r="AI1" s="1"/>
      <c r="AJ1" s="1"/>
      <c r="AK1" s="1"/>
    </row>
    <row r="2" spans="2:37" ht="8.25" customHeight="1" x14ac:dyDescent="0.35">
      <c r="C2" s="51"/>
      <c r="G2"/>
      <c r="H2"/>
      <c r="I2"/>
      <c r="J2"/>
      <c r="K2" s="17"/>
      <c r="Q2"/>
      <c r="R2"/>
      <c r="U2" s="6"/>
      <c r="V2" s="6"/>
      <c r="W2" s="6"/>
      <c r="X2" s="6"/>
      <c r="Y2" s="6"/>
      <c r="AI2" s="1"/>
      <c r="AJ2" s="1"/>
      <c r="AK2" s="1"/>
    </row>
    <row r="3" spans="2:37" ht="15" customHeight="1" x14ac:dyDescent="0.25">
      <c r="F3" s="167" t="s">
        <v>38</v>
      </c>
      <c r="G3" s="168"/>
      <c r="H3" s="168"/>
      <c r="I3" s="168"/>
      <c r="J3" s="169"/>
      <c r="K3" s="17"/>
      <c r="L3" s="176" t="s">
        <v>39</v>
      </c>
      <c r="M3" s="177"/>
      <c r="N3" s="177"/>
      <c r="O3" s="177"/>
      <c r="P3" s="178"/>
    </row>
    <row r="4" spans="2:37" ht="30" x14ac:dyDescent="0.25">
      <c r="B4" s="61" t="s">
        <v>77</v>
      </c>
      <c r="C4" s="49" t="s">
        <v>0</v>
      </c>
      <c r="D4" s="49" t="s">
        <v>28</v>
      </c>
      <c r="E4" s="50" t="s">
        <v>84</v>
      </c>
      <c r="F4" s="43" t="s">
        <v>4</v>
      </c>
      <c r="G4" s="44" t="s">
        <v>1</v>
      </c>
      <c r="H4" s="44" t="s">
        <v>2</v>
      </c>
      <c r="I4" s="43" t="s">
        <v>162</v>
      </c>
      <c r="J4" s="43" t="s">
        <v>3</v>
      </c>
      <c r="K4" s="17"/>
      <c r="L4" s="45" t="s">
        <v>4</v>
      </c>
      <c r="M4" s="46" t="s">
        <v>1</v>
      </c>
      <c r="N4" s="46" t="s">
        <v>2</v>
      </c>
      <c r="O4" s="45" t="s">
        <v>162</v>
      </c>
      <c r="P4" s="45" t="s">
        <v>3</v>
      </c>
    </row>
    <row r="5" spans="2:37" s="3" customFormat="1" x14ac:dyDescent="0.25">
      <c r="B5" s="55" t="s">
        <v>164</v>
      </c>
      <c r="C5" s="35">
        <v>9843</v>
      </c>
      <c r="D5" s="35">
        <v>392</v>
      </c>
      <c r="E5" s="35">
        <v>32</v>
      </c>
      <c r="F5" s="56">
        <f>1000*(1-EXP(-5*(D5-E5)/(C5+(D5-E5)/2)))</f>
        <v>164.38470897774693</v>
      </c>
      <c r="G5" s="57">
        <f>1000*(1-EXP((-5)*(I5-(1.96*J5))))</f>
        <v>148.882342148291</v>
      </c>
      <c r="H5" s="57">
        <f t="shared" ref="H5:H6" si="0">1000*(1-EXP((-5)*(I5+(1.96*J5))))</f>
        <v>179.60471369768959</v>
      </c>
      <c r="I5" s="24">
        <f>(D5-E5)/(C5+(D5-E5)/2)</f>
        <v>3.5917390002993113E-2</v>
      </c>
      <c r="J5" s="24">
        <f>SQRT(I5*(1-I5)/(C5-1))</f>
        <v>1.8757192239318861E-3</v>
      </c>
      <c r="K5" s="17"/>
      <c r="L5" s="56">
        <f>1000*(1-EXP(-5*D5/(C5+D5/2)))</f>
        <v>177.36162184750924</v>
      </c>
      <c r="M5" s="57">
        <f t="shared" ref="M5:M6" si="1">1000*(1-EXP((-5)*(O5-(1.96*P5))))</f>
        <v>161.46869577714941</v>
      </c>
      <c r="N5" s="57">
        <f t="shared" ref="N5:N6" si="2">1000*(1-EXP((-5)*(O5+(1.96*P5))))</f>
        <v>192.95332469840687</v>
      </c>
      <c r="O5" s="24">
        <f>(D5)/(C5+(D5)/2)</f>
        <v>3.9047713915728657E-2</v>
      </c>
      <c r="P5" s="24">
        <f>SQRT(O5*(1-O5)/(C5-1))</f>
        <v>1.952571914489244E-3</v>
      </c>
      <c r="V5" s="4"/>
      <c r="W5" s="5"/>
    </row>
    <row r="6" spans="2:37" s="3" customFormat="1" x14ac:dyDescent="0.25">
      <c r="B6" s="55" t="s">
        <v>165</v>
      </c>
      <c r="C6" s="35">
        <v>8279</v>
      </c>
      <c r="D6" s="35">
        <v>148</v>
      </c>
      <c r="E6" s="35">
        <v>17</v>
      </c>
      <c r="F6" s="56">
        <f>1000*(1-EXP(-5*(D6-E6)/(C6+(D6-E6)/2)))</f>
        <v>75.493148311275846</v>
      </c>
      <c r="G6" s="57">
        <f t="shared" ref="G6" si="3">1000*(1-EXP((-5)*(I6-(1.96*J6))))</f>
        <v>63.031264860848538</v>
      </c>
      <c r="H6" s="57">
        <f t="shared" si="0"/>
        <v>87.789286061438105</v>
      </c>
      <c r="I6" s="24">
        <f>(D6-E6)/(C6+(D6-E6)/2)</f>
        <v>1.569896338905866E-2</v>
      </c>
      <c r="J6" s="24">
        <f>SQRT(I6*(1-I6)/(C6-1))</f>
        <v>1.3662706800265548E-3</v>
      </c>
      <c r="K6" s="17"/>
      <c r="L6" s="56">
        <f>1000*(1-EXP(-5*D6/(C6+D6/2)))</f>
        <v>84.780109796640744</v>
      </c>
      <c r="M6" s="57">
        <f t="shared" si="1"/>
        <v>71.682085909156029</v>
      </c>
      <c r="N6" s="57">
        <f t="shared" si="2"/>
        <v>97.693328212688286</v>
      </c>
      <c r="O6" s="24">
        <f>(D6)/(C6+(D6)/2)</f>
        <v>1.7718185083203639E-2</v>
      </c>
      <c r="P6" s="24">
        <f>SQRT(O6*(1-O6)/(C6-1))</f>
        <v>1.4499898359467884E-3</v>
      </c>
    </row>
    <row r="7" spans="2:37" ht="15.75" thickBot="1" x14ac:dyDescent="0.3">
      <c r="K7" s="17"/>
    </row>
    <row r="8" spans="2:37" ht="30" x14ac:dyDescent="0.25">
      <c r="F8" s="7" t="s">
        <v>163</v>
      </c>
      <c r="G8" s="8" t="s">
        <v>78</v>
      </c>
      <c r="H8" s="9" t="s">
        <v>79</v>
      </c>
      <c r="I8" s="10" t="s">
        <v>71</v>
      </c>
      <c r="J8" s="11" t="s">
        <v>80</v>
      </c>
      <c r="K8" s="17"/>
      <c r="L8" s="7" t="s">
        <v>163</v>
      </c>
      <c r="M8" s="8" t="s">
        <v>78</v>
      </c>
      <c r="N8" s="9" t="s">
        <v>79</v>
      </c>
      <c r="O8" s="10" t="s">
        <v>71</v>
      </c>
      <c r="P8" s="11" t="s">
        <v>80</v>
      </c>
    </row>
    <row r="9" spans="2:37" x14ac:dyDescent="0.25">
      <c r="F9" s="12">
        <f>(J10/(J9+J10)*(I9+I10)-I10)^2/((J10/(J9+J10)*(I9+I10)))+(I9-(J9/(J9+J10)*(I9+I10)))^2/(J9/(J9+J10)*(I9+I10))+(J9-I9-(J9/(J9+J10)*(J9+J10-I9-I10)))^2/(J9/(J9+J10)*(J9+J10-I9-I10))+(J10-I10-(J10/(J9+J10)*(J9+J10-I9-I10)))^2/(J10/(J9+J10)*(J9+J10-I9-I10))</f>
        <v>71.544923652697065</v>
      </c>
      <c r="G9" s="60">
        <f>CHIDIST(F9,1)</f>
        <v>2.7101693205068112E-17</v>
      </c>
      <c r="H9" s="59" t="b">
        <f>(F9&gt;3.84)</f>
        <v>1</v>
      </c>
      <c r="I9" s="58">
        <f>D5-E5</f>
        <v>360</v>
      </c>
      <c r="J9" s="140">
        <f>(C5+(D5-E5)/2)</f>
        <v>10023</v>
      </c>
      <c r="K9" s="17"/>
      <c r="L9" s="12">
        <f>(P10/(P9+P10)*(O9+O10)-O10)^2/((P10/(P9+P10)*(O9+O10)))+(O9-(P9/(P9+P10)*(O9+O10)))^2/(P9/(P9+P10)*(O9+O10))+(P9-O9-(P9/(P9+P10)*(P9+P10-O9-O10)))^2/(P9/(P9+P10)*(P9+P10-O9-O10))+(P10-O10-(P10/(P9+P10)*(P9+P10-O9-O10)))^2/(P10/(P9+P10)*(P9+P10-O9-O10))</f>
        <v>72.785317359807848</v>
      </c>
      <c r="M9" s="60">
        <f>CHIDIST(L9,1)</f>
        <v>1.4454823952573287E-17</v>
      </c>
      <c r="N9" s="59" t="b">
        <f>(L9&gt;3.84)</f>
        <v>1</v>
      </c>
      <c r="O9" s="13">
        <f>D5</f>
        <v>392</v>
      </c>
      <c r="P9" s="140">
        <f>(C5+(D5)/2)</f>
        <v>10039</v>
      </c>
    </row>
    <row r="10" spans="2:37" ht="15.75" thickBot="1" x14ac:dyDescent="0.3">
      <c r="F10" s="14"/>
      <c r="G10" s="15"/>
      <c r="H10" s="15"/>
      <c r="I10" s="15">
        <f>D6-E6</f>
        <v>131</v>
      </c>
      <c r="J10" s="141">
        <f>(C6+(D6-E6)/2)</f>
        <v>8344.5</v>
      </c>
      <c r="K10" s="17"/>
      <c r="L10" s="14"/>
      <c r="M10" s="15"/>
      <c r="N10" s="15"/>
      <c r="O10" s="15">
        <f>D6</f>
        <v>148</v>
      </c>
      <c r="P10" s="141">
        <f>(C6+(D6)/2)</f>
        <v>8353</v>
      </c>
    </row>
    <row r="11" spans="2:37" x14ac:dyDescent="0.25">
      <c r="F11" s="76" t="s">
        <v>111</v>
      </c>
      <c r="H11" s="78" t="s">
        <v>112</v>
      </c>
      <c r="I11" s="16"/>
      <c r="J11" s="17"/>
      <c r="K11" s="17"/>
      <c r="L11" s="76" t="s">
        <v>111</v>
      </c>
      <c r="M11" s="18"/>
      <c r="N11" s="78" t="s">
        <v>112</v>
      </c>
      <c r="O11" s="18"/>
      <c r="P11" s="19"/>
      <c r="Q11" s="20"/>
    </row>
    <row r="12" spans="2:37" x14ac:dyDescent="0.25">
      <c r="F12" s="77">
        <f>F6/F5-1</f>
        <v>-0.54075321980528313</v>
      </c>
      <c r="H12" s="79">
        <f>F6-F5</f>
        <v>-88.891560666471079</v>
      </c>
      <c r="I12" s="16"/>
      <c r="J12" s="17"/>
      <c r="K12" s="17"/>
      <c r="L12" s="77">
        <f>L6/L5-1</f>
        <v>-0.52199292657837559</v>
      </c>
      <c r="M12" s="18"/>
      <c r="N12" s="79">
        <f>L6-L5</f>
        <v>-92.581512050868497</v>
      </c>
      <c r="O12" s="18"/>
      <c r="P12" s="19"/>
      <c r="Q12" s="20"/>
    </row>
    <row r="14" spans="2:37" ht="18" x14ac:dyDescent="0.35">
      <c r="B14" s="142" t="s">
        <v>166</v>
      </c>
    </row>
  </sheetData>
  <mergeCells count="2">
    <mergeCell ref="F3:J3"/>
    <mergeCell ref="L3:P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P55"/>
  <sheetViews>
    <sheetView tabSelected="1" workbookViewId="0">
      <pane xSplit="1" ySplit="4" topLeftCell="AW5" activePane="bottomRight" state="frozen"/>
      <selection pane="topRight" activeCell="B1" sqref="B1"/>
      <selection pane="bottomLeft" activeCell="A5" sqref="A5"/>
      <selection pane="bottomRight" activeCell="DY23" sqref="DY23"/>
    </sheetView>
  </sheetViews>
  <sheetFormatPr baseColWidth="10" defaultRowHeight="15" x14ac:dyDescent="0.25"/>
  <cols>
    <col min="1" max="1" width="2" style="143" customWidth="1"/>
    <col min="2" max="2" width="41.5703125" customWidth="1"/>
    <col min="3" max="121" width="1" customWidth="1"/>
    <col min="122" max="122" width="1.5703125" customWidth="1"/>
    <col min="123" max="123" width="1.7109375" style="143" customWidth="1"/>
    <col min="124" max="124" width="6.5703125" bestFit="1" customWidth="1"/>
    <col min="125" max="125" width="27.7109375" customWidth="1"/>
    <col min="126" max="127" width="8.7109375" customWidth="1"/>
    <col min="128" max="129" width="9" customWidth="1"/>
    <col min="130" max="132" width="13.42578125" customWidth="1"/>
    <col min="133" max="146" width="11.42578125" style="143"/>
  </cols>
  <sheetData>
    <row r="1" spans="1:146" s="143" customFormat="1" ht="21" x14ac:dyDescent="0.35">
      <c r="B1" s="145" t="s">
        <v>123</v>
      </c>
    </row>
    <row r="2" spans="1:146" s="143" customFormat="1" x14ac:dyDescent="0.25">
      <c r="B2" s="143" t="s">
        <v>125</v>
      </c>
    </row>
    <row r="3" spans="1:146" s="143" customFormat="1" ht="15.75" thickBot="1" x14ac:dyDescent="0.3"/>
    <row r="4" spans="1:146" ht="19.5" thickBot="1" x14ac:dyDescent="0.35">
      <c r="B4" s="183" t="s">
        <v>128</v>
      </c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84"/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84"/>
      <c r="AO4" s="184"/>
      <c r="AP4" s="184"/>
      <c r="AQ4" s="184"/>
      <c r="AR4" s="184"/>
      <c r="AS4" s="184"/>
      <c r="AT4" s="184"/>
      <c r="AU4" s="184"/>
      <c r="AV4" s="184"/>
      <c r="AW4" s="184"/>
      <c r="AX4" s="184"/>
      <c r="AY4" s="184"/>
      <c r="AZ4" s="184"/>
      <c r="BA4" s="184"/>
      <c r="BB4" s="184"/>
      <c r="BC4" s="184"/>
      <c r="BD4" s="184"/>
      <c r="BE4" s="184"/>
      <c r="BF4" s="184"/>
      <c r="BG4" s="184"/>
      <c r="BH4" s="184"/>
      <c r="BI4" s="184"/>
      <c r="BJ4" s="184"/>
      <c r="BK4" s="184"/>
      <c r="BL4" s="184"/>
      <c r="BM4" s="184"/>
      <c r="BN4" s="184"/>
      <c r="BO4" s="184"/>
      <c r="BP4" s="184"/>
      <c r="BQ4" s="184"/>
      <c r="BR4" s="184"/>
      <c r="BS4" s="184"/>
      <c r="BT4" s="184"/>
      <c r="BU4" s="184"/>
      <c r="BV4" s="184"/>
      <c r="BW4" s="184"/>
      <c r="BX4" s="184"/>
      <c r="BY4" s="184"/>
      <c r="BZ4" s="184"/>
      <c r="CA4" s="184"/>
      <c r="CB4" s="184"/>
      <c r="CC4" s="184"/>
      <c r="CD4" s="184"/>
      <c r="CE4" s="184"/>
      <c r="CF4" s="184"/>
      <c r="CG4" s="184"/>
      <c r="CH4" s="184"/>
      <c r="CI4" s="184"/>
      <c r="CJ4" s="184"/>
      <c r="CK4" s="184"/>
      <c r="CL4" s="184"/>
      <c r="CM4" s="184"/>
      <c r="CN4" s="184"/>
      <c r="CO4" s="184"/>
      <c r="CP4" s="184"/>
      <c r="CQ4" s="184"/>
      <c r="CR4" s="184"/>
      <c r="CS4" s="184"/>
      <c r="CT4" s="184"/>
      <c r="CU4" s="184"/>
      <c r="CV4" s="184"/>
      <c r="CW4" s="184"/>
      <c r="CX4" s="184"/>
      <c r="CY4" s="184"/>
      <c r="CZ4" s="184"/>
      <c r="DA4" s="184"/>
      <c r="DB4" s="184"/>
      <c r="DC4" s="184"/>
      <c r="DD4" s="184"/>
      <c r="DE4" s="184"/>
      <c r="DF4" s="184"/>
      <c r="DG4" s="184"/>
      <c r="DH4" s="184"/>
      <c r="DI4" s="184"/>
      <c r="DJ4" s="184"/>
      <c r="DK4" s="184"/>
      <c r="DL4" s="184"/>
      <c r="DM4" s="184"/>
      <c r="DN4" s="184"/>
      <c r="DO4" s="184"/>
      <c r="DP4" s="184"/>
      <c r="DQ4" s="184"/>
      <c r="DR4" s="185"/>
      <c r="DT4" s="179" t="s">
        <v>158</v>
      </c>
      <c r="DU4" s="180"/>
      <c r="DV4" s="180"/>
      <c r="DW4" s="180"/>
      <c r="DX4" s="180"/>
      <c r="DY4" s="180"/>
      <c r="DZ4" s="180"/>
      <c r="EA4" s="181"/>
      <c r="EB4" s="182"/>
    </row>
    <row r="5" spans="1:146" s="143" customFormat="1" ht="15.75" thickBot="1" x14ac:dyDescent="0.3"/>
    <row r="6" spans="1:146" ht="15" customHeight="1" x14ac:dyDescent="0.25">
      <c r="B6" s="81" t="s">
        <v>124</v>
      </c>
      <c r="C6" s="190">
        <v>2009</v>
      </c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>
        <v>2010</v>
      </c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>
        <v>2011</v>
      </c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>
        <v>2012</v>
      </c>
      <c r="AN6" s="190"/>
      <c r="AO6" s="190"/>
      <c r="AP6" s="190"/>
      <c r="AQ6" s="190"/>
      <c r="AR6" s="190"/>
      <c r="AS6" s="190"/>
      <c r="AT6" s="190"/>
      <c r="AU6" s="190"/>
      <c r="AV6" s="190"/>
      <c r="AW6" s="190"/>
      <c r="AX6" s="190"/>
      <c r="AY6" s="190">
        <v>2013</v>
      </c>
      <c r="AZ6" s="190"/>
      <c r="BA6" s="190"/>
      <c r="BB6" s="190"/>
      <c r="BC6" s="190"/>
      <c r="BD6" s="190"/>
      <c r="BE6" s="190"/>
      <c r="BF6" s="190"/>
      <c r="BG6" s="190"/>
      <c r="BH6" s="190"/>
      <c r="BI6" s="190"/>
      <c r="BJ6" s="190"/>
      <c r="BK6" s="190">
        <v>2014</v>
      </c>
      <c r="BL6" s="190"/>
      <c r="BM6" s="190"/>
      <c r="BN6" s="190"/>
      <c r="BO6" s="190"/>
      <c r="BP6" s="190"/>
      <c r="BQ6" s="190"/>
      <c r="BR6" s="190"/>
      <c r="BS6" s="190"/>
      <c r="BT6" s="190"/>
      <c r="BU6" s="190"/>
      <c r="BV6" s="190"/>
      <c r="BW6" s="190">
        <v>2015</v>
      </c>
      <c r="BX6" s="190"/>
      <c r="BY6" s="190"/>
      <c r="BZ6" s="190"/>
      <c r="CA6" s="190"/>
      <c r="CB6" s="190"/>
      <c r="CC6" s="190"/>
      <c r="CD6" s="190"/>
      <c r="CE6" s="190"/>
      <c r="CF6" s="190"/>
      <c r="CG6" s="190"/>
      <c r="CH6" s="190"/>
      <c r="CI6" s="190">
        <v>2016</v>
      </c>
      <c r="CJ6" s="190"/>
      <c r="CK6" s="190"/>
      <c r="CL6" s="190"/>
      <c r="CM6" s="190"/>
      <c r="CN6" s="190"/>
      <c r="CO6" s="190"/>
      <c r="CP6" s="190"/>
      <c r="CQ6" s="190"/>
      <c r="CR6" s="190"/>
      <c r="CS6" s="190"/>
      <c r="CT6" s="190"/>
      <c r="CU6" s="190">
        <v>2017</v>
      </c>
      <c r="CV6" s="190"/>
      <c r="CW6" s="190"/>
      <c r="CX6" s="190"/>
      <c r="CY6" s="190"/>
      <c r="CZ6" s="190"/>
      <c r="DA6" s="190"/>
      <c r="DB6" s="190"/>
      <c r="DC6" s="190"/>
      <c r="DD6" s="190"/>
      <c r="DE6" s="190"/>
      <c r="DF6" s="190"/>
      <c r="DG6" s="190">
        <v>2018</v>
      </c>
      <c r="DH6" s="190"/>
      <c r="DI6" s="190"/>
      <c r="DJ6" s="190"/>
      <c r="DK6" s="190"/>
      <c r="DL6" s="190"/>
      <c r="DM6" s="190"/>
      <c r="DN6" s="190"/>
      <c r="DO6" s="190"/>
      <c r="DP6" s="190"/>
      <c r="DQ6" s="190"/>
      <c r="DR6" s="207"/>
      <c r="DT6" s="147"/>
      <c r="DU6" s="148"/>
      <c r="DV6" s="191" t="s">
        <v>124</v>
      </c>
      <c r="DW6" s="192"/>
      <c r="DX6" s="197" t="s">
        <v>126</v>
      </c>
      <c r="DY6" s="198"/>
      <c r="DZ6" s="187" t="s">
        <v>127</v>
      </c>
      <c r="EA6" s="188"/>
      <c r="EB6" s="189"/>
    </row>
    <row r="7" spans="1:146" s="80" customFormat="1" ht="15" customHeight="1" x14ac:dyDescent="0.25">
      <c r="A7" s="144"/>
      <c r="B7" s="119"/>
      <c r="C7" s="108" t="s">
        <v>113</v>
      </c>
      <c r="D7" s="108" t="s">
        <v>114</v>
      </c>
      <c r="E7" s="108" t="s">
        <v>115</v>
      </c>
      <c r="F7" s="108" t="s">
        <v>116</v>
      </c>
      <c r="G7" s="108" t="s">
        <v>115</v>
      </c>
      <c r="H7" s="108" t="s">
        <v>113</v>
      </c>
      <c r="I7" s="108" t="s">
        <v>113</v>
      </c>
      <c r="J7" s="108" t="s">
        <v>116</v>
      </c>
      <c r="K7" s="108" t="s">
        <v>117</v>
      </c>
      <c r="L7" s="108" t="s">
        <v>118</v>
      </c>
      <c r="M7" s="108" t="s">
        <v>119</v>
      </c>
      <c r="N7" s="108" t="s">
        <v>120</v>
      </c>
      <c r="O7" s="108" t="s">
        <v>113</v>
      </c>
      <c r="P7" s="108" t="s">
        <v>114</v>
      </c>
      <c r="Q7" s="108" t="s">
        <v>115</v>
      </c>
      <c r="R7" s="108" t="s">
        <v>116</v>
      </c>
      <c r="S7" s="108" t="s">
        <v>115</v>
      </c>
      <c r="T7" s="108" t="s">
        <v>113</v>
      </c>
      <c r="U7" s="108" t="s">
        <v>113</v>
      </c>
      <c r="V7" s="108" t="s">
        <v>116</v>
      </c>
      <c r="W7" s="108" t="s">
        <v>117</v>
      </c>
      <c r="X7" s="108" t="s">
        <v>118</v>
      </c>
      <c r="Y7" s="108" t="s">
        <v>119</v>
      </c>
      <c r="Z7" s="108" t="s">
        <v>120</v>
      </c>
      <c r="AA7" s="108" t="s">
        <v>113</v>
      </c>
      <c r="AB7" s="108" t="s">
        <v>114</v>
      </c>
      <c r="AC7" s="108" t="s">
        <v>115</v>
      </c>
      <c r="AD7" s="108" t="s">
        <v>116</v>
      </c>
      <c r="AE7" s="108" t="s">
        <v>115</v>
      </c>
      <c r="AF7" s="108" t="s">
        <v>113</v>
      </c>
      <c r="AG7" s="108" t="s">
        <v>113</v>
      </c>
      <c r="AH7" s="108" t="s">
        <v>116</v>
      </c>
      <c r="AI7" s="108" t="s">
        <v>117</v>
      </c>
      <c r="AJ7" s="108" t="s">
        <v>118</v>
      </c>
      <c r="AK7" s="108" t="s">
        <v>119</v>
      </c>
      <c r="AL7" s="108" t="s">
        <v>120</v>
      </c>
      <c r="AM7" s="108" t="s">
        <v>113</v>
      </c>
      <c r="AN7" s="108" t="s">
        <v>114</v>
      </c>
      <c r="AO7" s="108" t="s">
        <v>115</v>
      </c>
      <c r="AP7" s="108" t="s">
        <v>116</v>
      </c>
      <c r="AQ7" s="108" t="s">
        <v>115</v>
      </c>
      <c r="AR7" s="108" t="s">
        <v>113</v>
      </c>
      <c r="AS7" s="108" t="s">
        <v>113</v>
      </c>
      <c r="AT7" s="108" t="s">
        <v>116</v>
      </c>
      <c r="AU7" s="108" t="s">
        <v>117</v>
      </c>
      <c r="AV7" s="108" t="s">
        <v>118</v>
      </c>
      <c r="AW7" s="108" t="s">
        <v>119</v>
      </c>
      <c r="AX7" s="108" t="s">
        <v>120</v>
      </c>
      <c r="AY7" s="108" t="s">
        <v>113</v>
      </c>
      <c r="AZ7" s="108" t="s">
        <v>114</v>
      </c>
      <c r="BA7" s="108" t="s">
        <v>115</v>
      </c>
      <c r="BB7" s="108" t="s">
        <v>116</v>
      </c>
      <c r="BC7" s="108" t="s">
        <v>115</v>
      </c>
      <c r="BD7" s="108" t="s">
        <v>113</v>
      </c>
      <c r="BE7" s="108" t="s">
        <v>113</v>
      </c>
      <c r="BF7" s="108" t="s">
        <v>116</v>
      </c>
      <c r="BG7" s="108" t="s">
        <v>117</v>
      </c>
      <c r="BH7" s="108" t="s">
        <v>118</v>
      </c>
      <c r="BI7" s="108" t="s">
        <v>119</v>
      </c>
      <c r="BJ7" s="108" t="s">
        <v>120</v>
      </c>
      <c r="BK7" s="108" t="s">
        <v>113</v>
      </c>
      <c r="BL7" s="108" t="s">
        <v>114</v>
      </c>
      <c r="BM7" s="108" t="s">
        <v>115</v>
      </c>
      <c r="BN7" s="108" t="s">
        <v>116</v>
      </c>
      <c r="BO7" s="108" t="s">
        <v>115</v>
      </c>
      <c r="BP7" s="108" t="s">
        <v>113</v>
      </c>
      <c r="BQ7" s="108" t="s">
        <v>113</v>
      </c>
      <c r="BR7" s="108" t="s">
        <v>116</v>
      </c>
      <c r="BS7" s="108" t="s">
        <v>117</v>
      </c>
      <c r="BT7" s="108" t="s">
        <v>118</v>
      </c>
      <c r="BU7" s="108" t="s">
        <v>119</v>
      </c>
      <c r="BV7" s="108" t="s">
        <v>120</v>
      </c>
      <c r="BW7" s="108" t="s">
        <v>113</v>
      </c>
      <c r="BX7" s="108" t="s">
        <v>114</v>
      </c>
      <c r="BY7" s="108" t="s">
        <v>115</v>
      </c>
      <c r="BZ7" s="108" t="s">
        <v>116</v>
      </c>
      <c r="CA7" s="108" t="s">
        <v>115</v>
      </c>
      <c r="CB7" s="108" t="s">
        <v>113</v>
      </c>
      <c r="CC7" s="108" t="s">
        <v>113</v>
      </c>
      <c r="CD7" s="108" t="s">
        <v>116</v>
      </c>
      <c r="CE7" s="108" t="s">
        <v>117</v>
      </c>
      <c r="CF7" s="108" t="s">
        <v>118</v>
      </c>
      <c r="CG7" s="108" t="s">
        <v>119</v>
      </c>
      <c r="CH7" s="108" t="s">
        <v>120</v>
      </c>
      <c r="CI7" s="108" t="s">
        <v>113</v>
      </c>
      <c r="CJ7" s="108" t="s">
        <v>114</v>
      </c>
      <c r="CK7" s="108" t="s">
        <v>115</v>
      </c>
      <c r="CL7" s="108" t="s">
        <v>116</v>
      </c>
      <c r="CM7" s="108" t="s">
        <v>115</v>
      </c>
      <c r="CN7" s="108" t="s">
        <v>113</v>
      </c>
      <c r="CO7" s="108" t="s">
        <v>113</v>
      </c>
      <c r="CP7" s="108" t="s">
        <v>116</v>
      </c>
      <c r="CQ7" s="108" t="s">
        <v>117</v>
      </c>
      <c r="CR7" s="108" t="s">
        <v>118</v>
      </c>
      <c r="CS7" s="108" t="s">
        <v>119</v>
      </c>
      <c r="CT7" s="108" t="s">
        <v>120</v>
      </c>
      <c r="CU7" s="108" t="s">
        <v>113</v>
      </c>
      <c r="CV7" s="108" t="s">
        <v>114</v>
      </c>
      <c r="CW7" s="108" t="s">
        <v>115</v>
      </c>
      <c r="CX7" s="108" t="s">
        <v>116</v>
      </c>
      <c r="CY7" s="108" t="s">
        <v>115</v>
      </c>
      <c r="CZ7" s="108" t="s">
        <v>113</v>
      </c>
      <c r="DA7" s="108" t="s">
        <v>113</v>
      </c>
      <c r="DB7" s="108" t="s">
        <v>116</v>
      </c>
      <c r="DC7" s="108" t="s">
        <v>117</v>
      </c>
      <c r="DD7" s="108" t="s">
        <v>118</v>
      </c>
      <c r="DE7" s="108" t="s">
        <v>119</v>
      </c>
      <c r="DF7" s="108" t="s">
        <v>120</v>
      </c>
      <c r="DG7" s="108" t="s">
        <v>113</v>
      </c>
      <c r="DH7" s="108" t="s">
        <v>114</v>
      </c>
      <c r="DI7" s="108" t="s">
        <v>115</v>
      </c>
      <c r="DJ7" s="108" t="s">
        <v>116</v>
      </c>
      <c r="DK7" s="108" t="s">
        <v>115</v>
      </c>
      <c r="DL7" s="108" t="s">
        <v>113</v>
      </c>
      <c r="DM7" s="108" t="s">
        <v>113</v>
      </c>
      <c r="DN7" s="108" t="s">
        <v>116</v>
      </c>
      <c r="DO7" s="108" t="s">
        <v>117</v>
      </c>
      <c r="DP7" s="108" t="s">
        <v>118</v>
      </c>
      <c r="DQ7" s="108" t="s">
        <v>119</v>
      </c>
      <c r="DR7" s="120" t="s">
        <v>120</v>
      </c>
      <c r="DS7" s="144"/>
      <c r="DT7" s="149"/>
      <c r="DU7" s="154" t="s">
        <v>171</v>
      </c>
      <c r="DV7" s="193"/>
      <c r="DW7" s="194"/>
      <c r="DX7" s="199"/>
      <c r="DY7" s="200"/>
      <c r="DZ7" s="203" t="s">
        <v>130</v>
      </c>
      <c r="EA7" s="204"/>
      <c r="EB7" s="186" t="s">
        <v>145</v>
      </c>
      <c r="EC7" s="144"/>
      <c r="ED7" s="144"/>
      <c r="EE7" s="144"/>
      <c r="EF7" s="144"/>
      <c r="EG7" s="144"/>
      <c r="EH7" s="144"/>
      <c r="EI7" s="144"/>
      <c r="EJ7" s="144"/>
      <c r="EK7" s="144"/>
      <c r="EL7" s="144"/>
      <c r="EM7" s="144"/>
      <c r="EN7" s="144"/>
      <c r="EO7" s="144"/>
      <c r="EP7" s="144"/>
    </row>
    <row r="8" spans="1:146" ht="15" customHeight="1" x14ac:dyDescent="0.25">
      <c r="B8" s="99" t="s">
        <v>132</v>
      </c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  <c r="BG8" s="100"/>
      <c r="BH8" s="100"/>
      <c r="BI8" s="100"/>
      <c r="BJ8" s="100"/>
      <c r="BK8" s="100"/>
      <c r="BL8" s="100"/>
      <c r="BM8" s="100"/>
      <c r="BN8" s="100"/>
      <c r="BO8" s="100"/>
      <c r="BP8" s="100"/>
      <c r="BQ8" s="100"/>
      <c r="BR8" s="100"/>
      <c r="BS8" s="100"/>
      <c r="BT8" s="100"/>
      <c r="BU8" s="100"/>
      <c r="BV8" s="100"/>
      <c r="BW8" s="100"/>
      <c r="BX8" s="100"/>
      <c r="BY8" s="100"/>
      <c r="BZ8" s="100"/>
      <c r="CA8" s="100"/>
      <c r="CB8" s="100"/>
      <c r="CC8" s="100"/>
      <c r="CD8" s="100"/>
      <c r="CE8" s="100"/>
      <c r="CF8" s="100"/>
      <c r="CG8" s="100"/>
      <c r="CH8" s="100"/>
      <c r="CI8" s="100"/>
      <c r="CJ8" s="100"/>
      <c r="CK8" s="100"/>
      <c r="CL8" s="100"/>
      <c r="CM8" s="100"/>
      <c r="CN8" s="100"/>
      <c r="CO8" s="100"/>
      <c r="CP8" s="100"/>
      <c r="CQ8" s="100"/>
      <c r="CR8" s="100"/>
      <c r="CS8" s="100"/>
      <c r="CT8" s="100"/>
      <c r="CU8" s="101"/>
      <c r="CV8" s="101"/>
      <c r="CW8" s="101"/>
      <c r="CX8" s="101"/>
      <c r="CY8" s="101"/>
      <c r="CZ8" s="101"/>
      <c r="DA8" s="101"/>
      <c r="DB8" s="101"/>
      <c r="DC8" s="101"/>
      <c r="DD8" s="101"/>
      <c r="DE8" s="101"/>
      <c r="DF8" s="101"/>
      <c r="DG8" s="101"/>
      <c r="DH8" s="101"/>
      <c r="DI8" s="101"/>
      <c r="DJ8" s="101"/>
      <c r="DK8" s="101"/>
      <c r="DL8" s="101"/>
      <c r="DM8" s="101"/>
      <c r="DN8" s="101"/>
      <c r="DO8" s="101"/>
      <c r="DP8" s="101"/>
      <c r="DQ8" s="101"/>
      <c r="DR8" s="102"/>
      <c r="DT8" s="150"/>
      <c r="DU8" s="151"/>
      <c r="DV8" s="195"/>
      <c r="DW8" s="196"/>
      <c r="DX8" s="201"/>
      <c r="DY8" s="202"/>
      <c r="DZ8" s="205"/>
      <c r="EA8" s="206"/>
      <c r="EB8" s="186"/>
    </row>
    <row r="9" spans="1:146" x14ac:dyDescent="0.25">
      <c r="B9" s="103" t="s">
        <v>133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BL9" s="104"/>
      <c r="BM9" s="104"/>
      <c r="BN9" s="104"/>
      <c r="BO9" s="104"/>
      <c r="BP9" s="104"/>
      <c r="BQ9" s="104"/>
      <c r="BR9" s="104"/>
      <c r="BS9" s="104"/>
      <c r="BT9" s="104"/>
      <c r="BU9" s="104"/>
      <c r="BV9" s="104"/>
      <c r="BW9" s="104"/>
      <c r="BX9" s="104"/>
      <c r="BY9" s="104"/>
      <c r="BZ9" s="104"/>
      <c r="CA9" s="104"/>
      <c r="CB9" s="104"/>
      <c r="CC9" s="104"/>
      <c r="CD9" s="104"/>
      <c r="CE9" s="104"/>
      <c r="CF9" s="104"/>
      <c r="CG9" s="104"/>
      <c r="CH9" s="104"/>
      <c r="CI9" s="104"/>
      <c r="CJ9" s="104"/>
      <c r="CK9" s="104"/>
      <c r="CL9" s="104"/>
      <c r="CM9" s="104"/>
      <c r="CN9" s="104"/>
      <c r="CO9" s="104"/>
      <c r="CP9" s="104"/>
      <c r="CQ9" s="104"/>
      <c r="CR9" s="104"/>
      <c r="CS9" s="104"/>
      <c r="CT9" s="104"/>
      <c r="CU9" s="105"/>
      <c r="CV9" s="105"/>
      <c r="CW9" s="105"/>
      <c r="CX9" s="105"/>
      <c r="CY9" s="105"/>
      <c r="CZ9" s="105"/>
      <c r="DA9" s="105"/>
      <c r="DB9" s="105"/>
      <c r="DC9" s="105"/>
      <c r="DD9" s="105"/>
      <c r="DE9" s="105"/>
      <c r="DF9" s="105"/>
      <c r="DG9" s="105"/>
      <c r="DH9" s="105"/>
      <c r="DI9" s="105"/>
      <c r="DJ9" s="105"/>
      <c r="DK9" s="105"/>
      <c r="DL9" s="105"/>
      <c r="DM9" s="105"/>
      <c r="DN9" s="105"/>
      <c r="DO9" s="105"/>
      <c r="DP9" s="105"/>
      <c r="DQ9" s="105"/>
      <c r="DR9" s="106"/>
      <c r="DT9" s="150"/>
      <c r="DU9" s="151"/>
      <c r="DV9" s="160" t="s">
        <v>173</v>
      </c>
      <c r="DW9" s="160" t="s">
        <v>172</v>
      </c>
      <c r="DX9" s="160" t="s">
        <v>173</v>
      </c>
      <c r="DY9" s="160" t="s">
        <v>172</v>
      </c>
      <c r="DZ9" s="160" t="s">
        <v>173</v>
      </c>
      <c r="EA9" s="160" t="s">
        <v>172</v>
      </c>
      <c r="EB9" s="161" t="s">
        <v>173</v>
      </c>
    </row>
    <row r="10" spans="1:146" x14ac:dyDescent="0.25">
      <c r="B10" s="103" t="s">
        <v>134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BL10" s="104"/>
      <c r="BM10" s="104"/>
      <c r="BN10" s="104"/>
      <c r="BO10" s="104"/>
      <c r="BP10" s="104"/>
      <c r="BQ10" s="104"/>
      <c r="BR10" s="104"/>
      <c r="BS10" s="104"/>
      <c r="BT10" s="104"/>
      <c r="BU10" s="104"/>
      <c r="BV10" s="104"/>
      <c r="BW10" s="104"/>
      <c r="BX10" s="104"/>
      <c r="BY10" s="104"/>
      <c r="BZ10" s="104"/>
      <c r="CA10" s="104"/>
      <c r="CB10" s="104"/>
      <c r="CC10" s="104"/>
      <c r="CD10" s="104"/>
      <c r="CE10" s="104"/>
      <c r="CF10" s="104"/>
      <c r="CG10" s="104"/>
      <c r="CH10" s="104"/>
      <c r="CI10" s="104"/>
      <c r="CJ10" s="104"/>
      <c r="CK10" s="104"/>
      <c r="CL10" s="104"/>
      <c r="CM10" s="104"/>
      <c r="CN10" s="104"/>
      <c r="CO10" s="104"/>
      <c r="CP10" s="104"/>
      <c r="CQ10" s="104"/>
      <c r="CR10" s="104"/>
      <c r="CS10" s="104"/>
      <c r="CT10" s="104"/>
      <c r="CU10" s="105"/>
      <c r="CV10" s="105"/>
      <c r="CW10" s="105"/>
      <c r="CX10" s="105"/>
      <c r="CY10" s="105"/>
      <c r="CZ10" s="105"/>
      <c r="DA10" s="105"/>
      <c r="DB10" s="105"/>
      <c r="DC10" s="105"/>
      <c r="DD10" s="105"/>
      <c r="DE10" s="105"/>
      <c r="DF10" s="105"/>
      <c r="DG10" s="105"/>
      <c r="DH10" s="105"/>
      <c r="DI10" s="105"/>
      <c r="DJ10" s="105"/>
      <c r="DK10" s="105"/>
      <c r="DL10" s="105"/>
      <c r="DM10" s="105"/>
      <c r="DN10" s="105"/>
      <c r="DO10" s="105"/>
      <c r="DP10" s="105"/>
      <c r="DQ10" s="105"/>
      <c r="DR10" s="106"/>
      <c r="DT10" s="136" t="s">
        <v>40</v>
      </c>
      <c r="DU10" s="162" t="s">
        <v>155</v>
      </c>
      <c r="DV10" s="155">
        <f>DV14/DV17*1000</f>
        <v>3.215434083601286</v>
      </c>
      <c r="DW10" s="155" t="s">
        <v>180</v>
      </c>
      <c r="DX10" s="129" t="s">
        <v>154</v>
      </c>
      <c r="DY10" s="129"/>
      <c r="DZ10" s="155">
        <f>DZ14/DZ21*1000</f>
        <v>3.5971223021582737</v>
      </c>
      <c r="EA10" s="155" t="s">
        <v>188</v>
      </c>
      <c r="EB10" s="137">
        <v>16</v>
      </c>
    </row>
    <row r="11" spans="1:146" ht="15.75" thickBot="1" x14ac:dyDescent="0.3">
      <c r="B11" s="85" t="s">
        <v>135</v>
      </c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  <c r="BM11" s="86"/>
      <c r="BN11" s="86"/>
      <c r="BO11" s="86"/>
      <c r="BP11" s="86"/>
      <c r="BQ11" s="86"/>
      <c r="BR11" s="86"/>
      <c r="BS11" s="86"/>
      <c r="BT11" s="86"/>
      <c r="BU11" s="86"/>
      <c r="BV11" s="86"/>
      <c r="BW11" s="86"/>
      <c r="BX11" s="86"/>
      <c r="BY11" s="86"/>
      <c r="BZ11" s="86"/>
      <c r="CA11" s="86"/>
      <c r="CB11" s="86"/>
      <c r="CC11" s="86"/>
      <c r="CD11" s="86"/>
      <c r="CE11" s="86"/>
      <c r="CF11" s="86"/>
      <c r="CG11" s="86"/>
      <c r="CH11" s="86"/>
      <c r="CI11" s="86"/>
      <c r="CJ11" s="86"/>
      <c r="CK11" s="86"/>
      <c r="CL11" s="86"/>
      <c r="CM11" s="86"/>
      <c r="CN11" s="86"/>
      <c r="CO11" s="86"/>
      <c r="CP11" s="86"/>
      <c r="CQ11" s="86"/>
      <c r="CR11" s="86"/>
      <c r="CS11" s="86"/>
      <c r="CT11" s="86"/>
      <c r="CU11" s="87"/>
      <c r="CV11" s="87"/>
      <c r="CW11" s="87"/>
      <c r="CX11" s="87"/>
      <c r="CY11" s="87"/>
      <c r="CZ11" s="87"/>
      <c r="DA11" s="87"/>
      <c r="DB11" s="87"/>
      <c r="DC11" s="87"/>
      <c r="DD11" s="87"/>
      <c r="DE11" s="87"/>
      <c r="DF11" s="87"/>
      <c r="DG11" s="87"/>
      <c r="DH11" s="87"/>
      <c r="DI11" s="87"/>
      <c r="DJ11" s="87"/>
      <c r="DK11" s="87"/>
      <c r="DL11" s="87"/>
      <c r="DM11" s="87"/>
      <c r="DN11" s="87"/>
      <c r="DO11" s="87"/>
      <c r="DP11" s="87"/>
      <c r="DQ11" s="87"/>
      <c r="DR11" s="88"/>
      <c r="DT11" s="136" t="s">
        <v>92</v>
      </c>
      <c r="DU11" s="162" t="s">
        <v>156</v>
      </c>
      <c r="DV11" s="155">
        <f>DV15/DV17*1000</f>
        <v>38.585209003215439</v>
      </c>
      <c r="DW11" s="155" t="s">
        <v>181</v>
      </c>
      <c r="DX11" s="129" t="s">
        <v>154</v>
      </c>
      <c r="DY11" s="155"/>
      <c r="DZ11" s="155">
        <f>DZ15/DZ22*1000</f>
        <v>35.294117647058826</v>
      </c>
      <c r="EA11" s="155" t="s">
        <v>189</v>
      </c>
      <c r="EB11" s="137">
        <v>44</v>
      </c>
    </row>
    <row r="12" spans="1:146" s="143" customFormat="1" ht="13.5" customHeight="1" thickBot="1" x14ac:dyDescent="0.3">
      <c r="DT12" s="138" t="s">
        <v>67</v>
      </c>
      <c r="DU12" s="163" t="s">
        <v>157</v>
      </c>
      <c r="DV12" s="156">
        <f>DV16/DV17*1000</f>
        <v>70.739549839228303</v>
      </c>
      <c r="DW12" s="156" t="s">
        <v>182</v>
      </c>
      <c r="DX12" s="156">
        <f>1000*(1-EXP(-5*(DX16/(DX18+0.5*DX16)*1000)/1000))</f>
        <v>71.704121019510183</v>
      </c>
      <c r="DY12" s="156" t="s">
        <v>184</v>
      </c>
      <c r="DZ12" s="156">
        <f>DZ16/DZ23*1000</f>
        <v>108.64745011086474</v>
      </c>
      <c r="EA12" s="156" t="s">
        <v>190</v>
      </c>
      <c r="EB12" s="139">
        <v>80</v>
      </c>
    </row>
    <row r="13" spans="1:146" x14ac:dyDescent="0.25">
      <c r="B13" s="90" t="s">
        <v>126</v>
      </c>
      <c r="C13" s="190">
        <v>2009</v>
      </c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>
        <v>2010</v>
      </c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>
        <v>2011</v>
      </c>
      <c r="AB13" s="190"/>
      <c r="AC13" s="190"/>
      <c r="AD13" s="190"/>
      <c r="AE13" s="190"/>
      <c r="AF13" s="190"/>
      <c r="AG13" s="190"/>
      <c r="AH13" s="190"/>
      <c r="AI13" s="190"/>
      <c r="AJ13" s="190"/>
      <c r="AK13" s="190"/>
      <c r="AL13" s="190"/>
      <c r="AM13" s="190">
        <v>2012</v>
      </c>
      <c r="AN13" s="190"/>
      <c r="AO13" s="190"/>
      <c r="AP13" s="190"/>
      <c r="AQ13" s="190"/>
      <c r="AR13" s="190"/>
      <c r="AS13" s="190"/>
      <c r="AT13" s="190"/>
      <c r="AU13" s="190"/>
      <c r="AV13" s="190"/>
      <c r="AW13" s="190"/>
      <c r="AX13" s="190"/>
      <c r="AY13" s="190">
        <v>2013</v>
      </c>
      <c r="AZ13" s="190"/>
      <c r="BA13" s="190"/>
      <c r="BB13" s="190"/>
      <c r="BC13" s="190"/>
      <c r="BD13" s="190"/>
      <c r="BE13" s="190"/>
      <c r="BF13" s="190"/>
      <c r="BG13" s="190"/>
      <c r="BH13" s="190"/>
      <c r="BI13" s="190"/>
      <c r="BJ13" s="190"/>
      <c r="BK13" s="190">
        <v>2014</v>
      </c>
      <c r="BL13" s="190"/>
      <c r="BM13" s="190"/>
      <c r="BN13" s="190"/>
      <c r="BO13" s="190"/>
      <c r="BP13" s="190"/>
      <c r="BQ13" s="190"/>
      <c r="BR13" s="190"/>
      <c r="BS13" s="190"/>
      <c r="BT13" s="190"/>
      <c r="BU13" s="190"/>
      <c r="BV13" s="190"/>
      <c r="BW13" s="190">
        <v>2015</v>
      </c>
      <c r="BX13" s="190"/>
      <c r="BY13" s="190"/>
      <c r="BZ13" s="190"/>
      <c r="CA13" s="190"/>
      <c r="CB13" s="190"/>
      <c r="CC13" s="190"/>
      <c r="CD13" s="190"/>
      <c r="CE13" s="190"/>
      <c r="CF13" s="190"/>
      <c r="CG13" s="190"/>
      <c r="CH13" s="190"/>
      <c r="CI13" s="190">
        <v>2016</v>
      </c>
      <c r="CJ13" s="190"/>
      <c r="CK13" s="190"/>
      <c r="CL13" s="190"/>
      <c r="CM13" s="190"/>
      <c r="CN13" s="190"/>
      <c r="CO13" s="190"/>
      <c r="CP13" s="190"/>
      <c r="CQ13" s="190"/>
      <c r="CR13" s="190"/>
      <c r="CS13" s="190"/>
      <c r="CT13" s="190"/>
      <c r="CU13" s="190">
        <v>2017</v>
      </c>
      <c r="CV13" s="190"/>
      <c r="CW13" s="190"/>
      <c r="CX13" s="190"/>
      <c r="CY13" s="190"/>
      <c r="CZ13" s="190"/>
      <c r="DA13" s="190"/>
      <c r="DB13" s="190"/>
      <c r="DC13" s="190"/>
      <c r="DD13" s="190"/>
      <c r="DE13" s="190"/>
      <c r="DF13" s="190"/>
      <c r="DG13" s="190">
        <v>2018</v>
      </c>
      <c r="DH13" s="190"/>
      <c r="DI13" s="190"/>
      <c r="DJ13" s="190"/>
      <c r="DK13" s="190"/>
      <c r="DL13" s="190"/>
      <c r="DM13" s="190"/>
      <c r="DN13" s="190"/>
      <c r="DO13" s="190"/>
      <c r="DP13" s="190"/>
      <c r="DQ13" s="190"/>
      <c r="DR13" s="207"/>
      <c r="DT13" s="143"/>
      <c r="DU13" s="143"/>
      <c r="DV13" s="143"/>
      <c r="DW13" s="143"/>
      <c r="DX13" s="143"/>
      <c r="DY13" s="143"/>
      <c r="DZ13" s="143"/>
      <c r="EA13" s="143"/>
      <c r="EB13" s="143"/>
    </row>
    <row r="14" spans="1:146" s="80" customFormat="1" x14ac:dyDescent="0.25">
      <c r="A14" s="144"/>
      <c r="B14" s="82"/>
      <c r="C14" s="83" t="s">
        <v>113</v>
      </c>
      <c r="D14" s="83" t="s">
        <v>114</v>
      </c>
      <c r="E14" s="83" t="s">
        <v>115</v>
      </c>
      <c r="F14" s="83" t="s">
        <v>116</v>
      </c>
      <c r="G14" s="83" t="s">
        <v>115</v>
      </c>
      <c r="H14" s="83" t="s">
        <v>113</v>
      </c>
      <c r="I14" s="83" t="s">
        <v>113</v>
      </c>
      <c r="J14" s="83" t="s">
        <v>116</v>
      </c>
      <c r="K14" s="83" t="s">
        <v>117</v>
      </c>
      <c r="L14" s="83" t="s">
        <v>118</v>
      </c>
      <c r="M14" s="83" t="s">
        <v>119</v>
      </c>
      <c r="N14" s="83" t="s">
        <v>120</v>
      </c>
      <c r="O14" s="83" t="s">
        <v>113</v>
      </c>
      <c r="P14" s="83" t="s">
        <v>114</v>
      </c>
      <c r="Q14" s="83" t="s">
        <v>115</v>
      </c>
      <c r="R14" s="83" t="s">
        <v>116</v>
      </c>
      <c r="S14" s="83" t="s">
        <v>115</v>
      </c>
      <c r="T14" s="83" t="s">
        <v>113</v>
      </c>
      <c r="U14" s="83" t="s">
        <v>113</v>
      </c>
      <c r="V14" s="83" t="s">
        <v>116</v>
      </c>
      <c r="W14" s="83" t="s">
        <v>117</v>
      </c>
      <c r="X14" s="83" t="s">
        <v>118</v>
      </c>
      <c r="Y14" s="83" t="s">
        <v>119</v>
      </c>
      <c r="Z14" s="83" t="s">
        <v>120</v>
      </c>
      <c r="AA14" s="83" t="s">
        <v>113</v>
      </c>
      <c r="AB14" s="83" t="s">
        <v>114</v>
      </c>
      <c r="AC14" s="83" t="s">
        <v>115</v>
      </c>
      <c r="AD14" s="83" t="s">
        <v>116</v>
      </c>
      <c r="AE14" s="83" t="s">
        <v>115</v>
      </c>
      <c r="AF14" s="83" t="s">
        <v>113</v>
      </c>
      <c r="AG14" s="83" t="s">
        <v>113</v>
      </c>
      <c r="AH14" s="83" t="s">
        <v>116</v>
      </c>
      <c r="AI14" s="83" t="s">
        <v>117</v>
      </c>
      <c r="AJ14" s="83" t="s">
        <v>118</v>
      </c>
      <c r="AK14" s="83" t="s">
        <v>119</v>
      </c>
      <c r="AL14" s="83" t="s">
        <v>120</v>
      </c>
      <c r="AM14" s="83" t="s">
        <v>113</v>
      </c>
      <c r="AN14" s="83" t="s">
        <v>114</v>
      </c>
      <c r="AO14" s="83" t="s">
        <v>115</v>
      </c>
      <c r="AP14" s="83" t="s">
        <v>116</v>
      </c>
      <c r="AQ14" s="83" t="s">
        <v>115</v>
      </c>
      <c r="AR14" s="83" t="s">
        <v>113</v>
      </c>
      <c r="AS14" s="83" t="s">
        <v>113</v>
      </c>
      <c r="AT14" s="83" t="s">
        <v>116</v>
      </c>
      <c r="AU14" s="83" t="s">
        <v>117</v>
      </c>
      <c r="AV14" s="83" t="s">
        <v>118</v>
      </c>
      <c r="AW14" s="83" t="s">
        <v>119</v>
      </c>
      <c r="AX14" s="83" t="s">
        <v>120</v>
      </c>
      <c r="AY14" s="83" t="s">
        <v>113</v>
      </c>
      <c r="AZ14" s="83" t="s">
        <v>114</v>
      </c>
      <c r="BA14" s="83" t="s">
        <v>115</v>
      </c>
      <c r="BB14" s="83" t="s">
        <v>116</v>
      </c>
      <c r="BC14" s="83" t="s">
        <v>115</v>
      </c>
      <c r="BD14" s="83" t="s">
        <v>113</v>
      </c>
      <c r="BE14" s="83" t="s">
        <v>113</v>
      </c>
      <c r="BF14" s="83" t="s">
        <v>116</v>
      </c>
      <c r="BG14" s="83" t="s">
        <v>117</v>
      </c>
      <c r="BH14" s="83" t="s">
        <v>118</v>
      </c>
      <c r="BI14" s="83" t="s">
        <v>119</v>
      </c>
      <c r="BJ14" s="83" t="s">
        <v>120</v>
      </c>
      <c r="BK14" s="83" t="s">
        <v>113</v>
      </c>
      <c r="BL14" s="83" t="s">
        <v>114</v>
      </c>
      <c r="BM14" s="83" t="s">
        <v>115</v>
      </c>
      <c r="BN14" s="83" t="s">
        <v>116</v>
      </c>
      <c r="BO14" s="83" t="s">
        <v>115</v>
      </c>
      <c r="BP14" s="83" t="s">
        <v>113</v>
      </c>
      <c r="BQ14" s="83" t="s">
        <v>113</v>
      </c>
      <c r="BR14" s="83" t="s">
        <v>116</v>
      </c>
      <c r="BS14" s="83" t="s">
        <v>117</v>
      </c>
      <c r="BT14" s="83" t="s">
        <v>118</v>
      </c>
      <c r="BU14" s="83" t="s">
        <v>119</v>
      </c>
      <c r="BV14" s="83" t="s">
        <v>120</v>
      </c>
      <c r="BW14" s="83" t="s">
        <v>113</v>
      </c>
      <c r="BX14" s="83" t="s">
        <v>114</v>
      </c>
      <c r="BY14" s="83" t="s">
        <v>115</v>
      </c>
      <c r="BZ14" s="83" t="s">
        <v>116</v>
      </c>
      <c r="CA14" s="83" t="s">
        <v>115</v>
      </c>
      <c r="CB14" s="83" t="s">
        <v>113</v>
      </c>
      <c r="CC14" s="83" t="s">
        <v>113</v>
      </c>
      <c r="CD14" s="83" t="s">
        <v>116</v>
      </c>
      <c r="CE14" s="83" t="s">
        <v>117</v>
      </c>
      <c r="CF14" s="83" t="s">
        <v>118</v>
      </c>
      <c r="CG14" s="83" t="s">
        <v>119</v>
      </c>
      <c r="CH14" s="83" t="s">
        <v>120</v>
      </c>
      <c r="CI14" s="83" t="s">
        <v>113</v>
      </c>
      <c r="CJ14" s="83" t="s">
        <v>114</v>
      </c>
      <c r="CK14" s="83" t="s">
        <v>115</v>
      </c>
      <c r="CL14" s="83" t="s">
        <v>116</v>
      </c>
      <c r="CM14" s="83" t="s">
        <v>115</v>
      </c>
      <c r="CN14" s="83" t="s">
        <v>113</v>
      </c>
      <c r="CO14" s="83" t="s">
        <v>113</v>
      </c>
      <c r="CP14" s="83" t="s">
        <v>116</v>
      </c>
      <c r="CQ14" s="83" t="s">
        <v>117</v>
      </c>
      <c r="CR14" s="83" t="s">
        <v>118</v>
      </c>
      <c r="CS14" s="83" t="s">
        <v>119</v>
      </c>
      <c r="CT14" s="83" t="s">
        <v>120</v>
      </c>
      <c r="CU14" s="83" t="s">
        <v>113</v>
      </c>
      <c r="CV14" s="83" t="s">
        <v>114</v>
      </c>
      <c r="CW14" s="83" t="s">
        <v>115</v>
      </c>
      <c r="CX14" s="83" t="s">
        <v>116</v>
      </c>
      <c r="CY14" s="83" t="s">
        <v>115</v>
      </c>
      <c r="CZ14" s="83" t="s">
        <v>113</v>
      </c>
      <c r="DA14" s="83" t="s">
        <v>113</v>
      </c>
      <c r="DB14" s="83" t="s">
        <v>116</v>
      </c>
      <c r="DC14" s="83" t="s">
        <v>117</v>
      </c>
      <c r="DD14" s="83" t="s">
        <v>118</v>
      </c>
      <c r="DE14" s="83" t="s">
        <v>119</v>
      </c>
      <c r="DF14" s="83" t="s">
        <v>120</v>
      </c>
      <c r="DG14" s="83" t="s">
        <v>113</v>
      </c>
      <c r="DH14" s="83" t="s">
        <v>114</v>
      </c>
      <c r="DI14" s="83" t="s">
        <v>115</v>
      </c>
      <c r="DJ14" s="83" t="s">
        <v>116</v>
      </c>
      <c r="DK14" s="83" t="s">
        <v>115</v>
      </c>
      <c r="DL14" s="83" t="s">
        <v>113</v>
      </c>
      <c r="DM14" s="83" t="s">
        <v>113</v>
      </c>
      <c r="DN14" s="83" t="s">
        <v>116</v>
      </c>
      <c r="DO14" s="83" t="s">
        <v>117</v>
      </c>
      <c r="DP14" s="83" t="s">
        <v>118</v>
      </c>
      <c r="DQ14" s="83" t="s">
        <v>119</v>
      </c>
      <c r="DR14" s="84" t="s">
        <v>120</v>
      </c>
      <c r="DS14" s="144"/>
      <c r="DT14" s="144" t="s">
        <v>170</v>
      </c>
      <c r="DU14" s="80" t="s">
        <v>85</v>
      </c>
      <c r="DV14" s="153">
        <v>1</v>
      </c>
      <c r="DW14" s="153"/>
      <c r="DX14" s="158"/>
      <c r="DY14" s="144"/>
      <c r="DZ14" s="153">
        <v>2</v>
      </c>
      <c r="EA14" s="144"/>
      <c r="EB14" s="144"/>
      <c r="EC14" s="144"/>
      <c r="ED14" s="144"/>
      <c r="EE14" s="144"/>
      <c r="EF14" s="144"/>
      <c r="EG14" s="144"/>
      <c r="EH14" s="144"/>
      <c r="EI14" s="144"/>
      <c r="EJ14" s="144"/>
      <c r="EK14" s="144"/>
      <c r="EL14" s="144"/>
      <c r="EM14" s="144"/>
      <c r="EN14" s="144"/>
      <c r="EO14" s="144"/>
      <c r="EP14" s="144"/>
    </row>
    <row r="15" spans="1:146" s="80" customFormat="1" x14ac:dyDescent="0.25">
      <c r="A15" s="144"/>
      <c r="B15" s="107" t="s">
        <v>129</v>
      </c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9"/>
      <c r="AX15" s="109"/>
      <c r="AY15" s="110"/>
      <c r="AZ15" s="110"/>
      <c r="BA15" s="110"/>
      <c r="BB15" s="110"/>
      <c r="BC15" s="110"/>
      <c r="BD15" s="110"/>
      <c r="BE15" s="110"/>
      <c r="BF15" s="110"/>
      <c r="BG15" s="110"/>
      <c r="BH15" s="110"/>
      <c r="BI15" s="110"/>
      <c r="BJ15" s="110"/>
      <c r="BK15" s="110"/>
      <c r="BL15" s="110"/>
      <c r="BM15" s="110"/>
      <c r="BN15" s="110"/>
      <c r="BO15" s="110"/>
      <c r="BP15" s="110"/>
      <c r="BQ15" s="110"/>
      <c r="BR15" s="110"/>
      <c r="BS15" s="110"/>
      <c r="BT15" s="110"/>
      <c r="BU15" s="110"/>
      <c r="BV15" s="110"/>
      <c r="BW15" s="110"/>
      <c r="BX15" s="110"/>
      <c r="BY15" s="110"/>
      <c r="BZ15" s="110"/>
      <c r="CA15" s="110"/>
      <c r="CB15" s="110"/>
      <c r="CC15" s="110"/>
      <c r="CD15" s="110"/>
      <c r="CE15" s="110"/>
      <c r="CF15" s="110"/>
      <c r="CG15" s="110"/>
      <c r="CH15" s="110"/>
      <c r="CI15" s="110"/>
      <c r="CJ15" s="110"/>
      <c r="CK15" s="110"/>
      <c r="CL15" s="110"/>
      <c r="CM15" s="110"/>
      <c r="CN15" s="110"/>
      <c r="CO15" s="110"/>
      <c r="CP15" s="110"/>
      <c r="CQ15" s="110"/>
      <c r="CR15" s="110"/>
      <c r="CS15" s="110"/>
      <c r="CT15" s="110"/>
      <c r="CU15" s="110"/>
      <c r="CV15" s="110"/>
      <c r="CW15" s="110"/>
      <c r="CX15" s="110"/>
      <c r="CY15" s="110"/>
      <c r="CZ15" s="110"/>
      <c r="DA15" s="110"/>
      <c r="DB15" s="110"/>
      <c r="DC15" s="110"/>
      <c r="DD15" s="110"/>
      <c r="DE15" s="110"/>
      <c r="DF15" s="110"/>
      <c r="DG15" s="111"/>
      <c r="DH15" s="111"/>
      <c r="DI15" s="111"/>
      <c r="DJ15" s="111"/>
      <c r="DK15" s="111"/>
      <c r="DL15" s="111"/>
      <c r="DM15" s="111"/>
      <c r="DN15" s="111"/>
      <c r="DO15" s="111"/>
      <c r="DP15" s="111"/>
      <c r="DQ15" s="111"/>
      <c r="DR15" s="112"/>
      <c r="DS15" s="146"/>
      <c r="DT15" s="146"/>
      <c r="DU15" s="144" t="s">
        <v>88</v>
      </c>
      <c r="DV15" s="153">
        <v>12</v>
      </c>
      <c r="DW15" s="153"/>
      <c r="DX15" s="144"/>
      <c r="DY15" s="144"/>
      <c r="DZ15" s="153">
        <v>15</v>
      </c>
      <c r="EA15" s="144"/>
      <c r="EB15" s="144"/>
      <c r="EC15" s="144"/>
      <c r="ED15" s="144"/>
      <c r="EE15" s="144"/>
      <c r="EF15" s="144"/>
      <c r="EG15" s="144"/>
      <c r="EH15" s="144"/>
      <c r="EI15" s="144"/>
      <c r="EJ15" s="144"/>
      <c r="EK15" s="144"/>
      <c r="EL15" s="144"/>
      <c r="EM15" s="144"/>
      <c r="EN15" s="144"/>
      <c r="EO15" s="144"/>
      <c r="EP15" s="144"/>
    </row>
    <row r="16" spans="1:146" ht="15.75" thickBot="1" x14ac:dyDescent="0.3">
      <c r="B16" s="85" t="s">
        <v>136</v>
      </c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  <c r="BI16" s="93"/>
      <c r="BJ16" s="93"/>
      <c r="BK16" s="93"/>
      <c r="BL16" s="93"/>
      <c r="BM16" s="93"/>
      <c r="BN16" s="93"/>
      <c r="BO16" s="93"/>
      <c r="BP16" s="93"/>
      <c r="BQ16" s="93"/>
      <c r="BR16" s="93"/>
      <c r="BS16" s="93"/>
      <c r="BT16" s="93"/>
      <c r="BU16" s="93"/>
      <c r="BV16" s="93"/>
      <c r="BW16" s="93"/>
      <c r="BX16" s="93"/>
      <c r="BY16" s="93"/>
      <c r="BZ16" s="93"/>
      <c r="CA16" s="93"/>
      <c r="CB16" s="93"/>
      <c r="CC16" s="93"/>
      <c r="CD16" s="93"/>
      <c r="CE16" s="93"/>
      <c r="CF16" s="93"/>
      <c r="CG16" s="93"/>
      <c r="CH16" s="93"/>
      <c r="CI16" s="93"/>
      <c r="CJ16" s="93"/>
      <c r="CK16" s="93"/>
      <c r="CL16" s="93"/>
      <c r="CM16" s="93"/>
      <c r="CN16" s="93"/>
      <c r="CO16" s="93"/>
      <c r="CP16" s="93"/>
      <c r="CQ16" s="93"/>
      <c r="CR16" s="93"/>
      <c r="CS16" s="93"/>
      <c r="CT16" s="93"/>
      <c r="CU16" s="93"/>
      <c r="CV16" s="93"/>
      <c r="CW16" s="93"/>
      <c r="CX16" s="93"/>
      <c r="CY16" s="93"/>
      <c r="CZ16" s="93"/>
      <c r="DA16" s="93"/>
      <c r="DB16" s="93"/>
      <c r="DC16" s="93"/>
      <c r="DD16" s="93"/>
      <c r="DE16" s="93"/>
      <c r="DF16" s="93"/>
      <c r="DG16" s="91"/>
      <c r="DH16" s="91"/>
      <c r="DI16" s="91"/>
      <c r="DJ16" s="91"/>
      <c r="DK16" s="91"/>
      <c r="DL16" s="91"/>
      <c r="DM16" s="91"/>
      <c r="DN16" s="91"/>
      <c r="DO16" s="91"/>
      <c r="DP16" s="91"/>
      <c r="DQ16" s="91"/>
      <c r="DR16" s="92"/>
      <c r="DT16" s="143"/>
      <c r="DU16" s="144" t="s">
        <v>28</v>
      </c>
      <c r="DV16" s="153">
        <v>22</v>
      </c>
      <c r="DW16" s="153"/>
      <c r="DX16" s="153">
        <v>10</v>
      </c>
      <c r="DY16" s="153"/>
      <c r="DZ16" s="153">
        <v>49</v>
      </c>
      <c r="EA16" s="153"/>
      <c r="EB16" s="143"/>
    </row>
    <row r="17" spans="1:146" s="143" customFormat="1" ht="13.5" customHeight="1" thickBot="1" x14ac:dyDescent="0.3">
      <c r="DU17" s="144" t="s">
        <v>87</v>
      </c>
      <c r="DV17" s="153">
        <v>311</v>
      </c>
      <c r="DW17" s="153"/>
      <c r="DX17" s="153"/>
      <c r="DY17" s="153"/>
      <c r="EA17" s="153"/>
    </row>
    <row r="18" spans="1:146" s="89" customFormat="1" ht="13.5" customHeight="1" x14ac:dyDescent="0.25">
      <c r="A18" s="143"/>
      <c r="B18" s="94" t="s">
        <v>127</v>
      </c>
      <c r="C18" s="190">
        <v>2009</v>
      </c>
      <c r="D18" s="190"/>
      <c r="E18" s="190"/>
      <c r="F18" s="190"/>
      <c r="G18" s="190"/>
      <c r="H18" s="190"/>
      <c r="I18" s="190"/>
      <c r="J18" s="190"/>
      <c r="K18" s="190"/>
      <c r="L18" s="190"/>
      <c r="M18" s="190"/>
      <c r="N18" s="190"/>
      <c r="O18" s="190">
        <v>2010</v>
      </c>
      <c r="P18" s="190"/>
      <c r="Q18" s="190"/>
      <c r="R18" s="190"/>
      <c r="S18" s="190"/>
      <c r="T18" s="190"/>
      <c r="U18" s="190"/>
      <c r="V18" s="190"/>
      <c r="W18" s="190"/>
      <c r="X18" s="190"/>
      <c r="Y18" s="190"/>
      <c r="Z18" s="190"/>
      <c r="AA18" s="190">
        <v>2011</v>
      </c>
      <c r="AB18" s="190"/>
      <c r="AC18" s="190"/>
      <c r="AD18" s="190"/>
      <c r="AE18" s="190"/>
      <c r="AF18" s="190"/>
      <c r="AG18" s="190"/>
      <c r="AH18" s="190"/>
      <c r="AI18" s="190"/>
      <c r="AJ18" s="190"/>
      <c r="AK18" s="190"/>
      <c r="AL18" s="190"/>
      <c r="AM18" s="190">
        <v>2012</v>
      </c>
      <c r="AN18" s="190"/>
      <c r="AO18" s="190"/>
      <c r="AP18" s="190"/>
      <c r="AQ18" s="190"/>
      <c r="AR18" s="190"/>
      <c r="AS18" s="190"/>
      <c r="AT18" s="190"/>
      <c r="AU18" s="190"/>
      <c r="AV18" s="190"/>
      <c r="AW18" s="190"/>
      <c r="AX18" s="190"/>
      <c r="AY18" s="190">
        <v>2013</v>
      </c>
      <c r="AZ18" s="190"/>
      <c r="BA18" s="190"/>
      <c r="BB18" s="190"/>
      <c r="BC18" s="190"/>
      <c r="BD18" s="190"/>
      <c r="BE18" s="190"/>
      <c r="BF18" s="190"/>
      <c r="BG18" s="190"/>
      <c r="BH18" s="190"/>
      <c r="BI18" s="190"/>
      <c r="BJ18" s="190"/>
      <c r="BK18" s="190">
        <v>2014</v>
      </c>
      <c r="BL18" s="190"/>
      <c r="BM18" s="190"/>
      <c r="BN18" s="190"/>
      <c r="BO18" s="190"/>
      <c r="BP18" s="190"/>
      <c r="BQ18" s="190"/>
      <c r="BR18" s="190"/>
      <c r="BS18" s="190"/>
      <c r="BT18" s="190"/>
      <c r="BU18" s="190"/>
      <c r="BV18" s="190"/>
      <c r="BW18" s="190">
        <v>2015</v>
      </c>
      <c r="BX18" s="190"/>
      <c r="BY18" s="190"/>
      <c r="BZ18" s="190"/>
      <c r="CA18" s="190"/>
      <c r="CB18" s="190"/>
      <c r="CC18" s="190"/>
      <c r="CD18" s="190"/>
      <c r="CE18" s="190"/>
      <c r="CF18" s="190"/>
      <c r="CG18" s="190"/>
      <c r="CH18" s="190"/>
      <c r="CI18" s="190">
        <v>2016</v>
      </c>
      <c r="CJ18" s="190"/>
      <c r="CK18" s="190"/>
      <c r="CL18" s="190"/>
      <c r="CM18" s="190"/>
      <c r="CN18" s="190"/>
      <c r="CO18" s="190"/>
      <c r="CP18" s="190"/>
      <c r="CQ18" s="190"/>
      <c r="CR18" s="190"/>
      <c r="CS18" s="190"/>
      <c r="CT18" s="190"/>
      <c r="CU18" s="190">
        <v>2017</v>
      </c>
      <c r="CV18" s="190"/>
      <c r="CW18" s="190"/>
      <c r="CX18" s="190"/>
      <c r="CY18" s="190"/>
      <c r="CZ18" s="190"/>
      <c r="DA18" s="190"/>
      <c r="DB18" s="190"/>
      <c r="DC18" s="190"/>
      <c r="DD18" s="190"/>
      <c r="DE18" s="190"/>
      <c r="DF18" s="190"/>
      <c r="DG18" s="190">
        <v>2018</v>
      </c>
      <c r="DH18" s="190"/>
      <c r="DI18" s="190"/>
      <c r="DJ18" s="190"/>
      <c r="DK18" s="190"/>
      <c r="DL18" s="190"/>
      <c r="DM18" s="190"/>
      <c r="DN18" s="190"/>
      <c r="DO18" s="190"/>
      <c r="DP18" s="190"/>
      <c r="DQ18" s="190"/>
      <c r="DR18" s="207"/>
      <c r="DS18" s="143"/>
      <c r="DT18" s="143"/>
      <c r="DU18" s="144" t="s">
        <v>0</v>
      </c>
      <c r="DV18" s="153"/>
      <c r="DW18" s="153"/>
      <c r="DX18" s="153">
        <v>667</v>
      </c>
      <c r="DY18" s="153"/>
      <c r="DZ18" s="153"/>
      <c r="EA18" s="153"/>
      <c r="EB18" s="143"/>
      <c r="EC18" s="143"/>
      <c r="ED18" s="143"/>
      <c r="EE18" s="143"/>
      <c r="EF18" s="143"/>
      <c r="EG18" s="143"/>
      <c r="EH18" s="143"/>
      <c r="EI18" s="143"/>
      <c r="EJ18" s="143"/>
      <c r="EK18" s="143"/>
      <c r="EL18" s="143"/>
      <c r="EM18" s="143"/>
      <c r="EN18" s="143"/>
      <c r="EO18" s="143"/>
      <c r="EP18" s="143"/>
    </row>
    <row r="19" spans="1:146" s="89" customFormat="1" ht="13.5" customHeight="1" x14ac:dyDescent="0.25">
      <c r="A19" s="143"/>
      <c r="B19" s="119"/>
      <c r="C19" s="108" t="s">
        <v>113</v>
      </c>
      <c r="D19" s="108" t="s">
        <v>114</v>
      </c>
      <c r="E19" s="108" t="s">
        <v>115</v>
      </c>
      <c r="F19" s="108" t="s">
        <v>116</v>
      </c>
      <c r="G19" s="108" t="s">
        <v>115</v>
      </c>
      <c r="H19" s="108" t="s">
        <v>113</v>
      </c>
      <c r="I19" s="108" t="s">
        <v>113</v>
      </c>
      <c r="J19" s="108" t="s">
        <v>116</v>
      </c>
      <c r="K19" s="108" t="s">
        <v>117</v>
      </c>
      <c r="L19" s="108" t="s">
        <v>118</v>
      </c>
      <c r="M19" s="108" t="s">
        <v>119</v>
      </c>
      <c r="N19" s="108" t="s">
        <v>120</v>
      </c>
      <c r="O19" s="108" t="s">
        <v>113</v>
      </c>
      <c r="P19" s="108" t="s">
        <v>114</v>
      </c>
      <c r="Q19" s="108" t="s">
        <v>115</v>
      </c>
      <c r="R19" s="108" t="s">
        <v>116</v>
      </c>
      <c r="S19" s="108" t="s">
        <v>115</v>
      </c>
      <c r="T19" s="108" t="s">
        <v>113</v>
      </c>
      <c r="U19" s="108" t="s">
        <v>113</v>
      </c>
      <c r="V19" s="108" t="s">
        <v>116</v>
      </c>
      <c r="W19" s="108" t="s">
        <v>117</v>
      </c>
      <c r="X19" s="108" t="s">
        <v>118</v>
      </c>
      <c r="Y19" s="108" t="s">
        <v>119</v>
      </c>
      <c r="Z19" s="108" t="s">
        <v>120</v>
      </c>
      <c r="AA19" s="108" t="s">
        <v>113</v>
      </c>
      <c r="AB19" s="108" t="s">
        <v>114</v>
      </c>
      <c r="AC19" s="108" t="s">
        <v>115</v>
      </c>
      <c r="AD19" s="108" t="s">
        <v>116</v>
      </c>
      <c r="AE19" s="108" t="s">
        <v>115</v>
      </c>
      <c r="AF19" s="108" t="s">
        <v>113</v>
      </c>
      <c r="AG19" s="108" t="s">
        <v>113</v>
      </c>
      <c r="AH19" s="108" t="s">
        <v>116</v>
      </c>
      <c r="AI19" s="108" t="s">
        <v>117</v>
      </c>
      <c r="AJ19" s="108" t="s">
        <v>118</v>
      </c>
      <c r="AK19" s="108" t="s">
        <v>119</v>
      </c>
      <c r="AL19" s="108" t="s">
        <v>120</v>
      </c>
      <c r="AM19" s="108" t="s">
        <v>113</v>
      </c>
      <c r="AN19" s="108" t="s">
        <v>114</v>
      </c>
      <c r="AO19" s="108" t="s">
        <v>115</v>
      </c>
      <c r="AP19" s="108" t="s">
        <v>116</v>
      </c>
      <c r="AQ19" s="108" t="s">
        <v>115</v>
      </c>
      <c r="AR19" s="108" t="s">
        <v>113</v>
      </c>
      <c r="AS19" s="108" t="s">
        <v>113</v>
      </c>
      <c r="AT19" s="108" t="s">
        <v>116</v>
      </c>
      <c r="AU19" s="108" t="s">
        <v>117</v>
      </c>
      <c r="AV19" s="108" t="s">
        <v>118</v>
      </c>
      <c r="AW19" s="108" t="s">
        <v>119</v>
      </c>
      <c r="AX19" s="108" t="s">
        <v>120</v>
      </c>
      <c r="AY19" s="108" t="s">
        <v>113</v>
      </c>
      <c r="AZ19" s="108" t="s">
        <v>114</v>
      </c>
      <c r="BA19" s="108" t="s">
        <v>115</v>
      </c>
      <c r="BB19" s="108" t="s">
        <v>116</v>
      </c>
      <c r="BC19" s="108" t="s">
        <v>115</v>
      </c>
      <c r="BD19" s="108" t="s">
        <v>113</v>
      </c>
      <c r="BE19" s="108" t="s">
        <v>113</v>
      </c>
      <c r="BF19" s="108" t="s">
        <v>116</v>
      </c>
      <c r="BG19" s="108" t="s">
        <v>117</v>
      </c>
      <c r="BH19" s="108" t="s">
        <v>118</v>
      </c>
      <c r="BI19" s="108" t="s">
        <v>119</v>
      </c>
      <c r="BJ19" s="108" t="s">
        <v>120</v>
      </c>
      <c r="BK19" s="108" t="s">
        <v>113</v>
      </c>
      <c r="BL19" s="108" t="s">
        <v>114</v>
      </c>
      <c r="BM19" s="108" t="s">
        <v>115</v>
      </c>
      <c r="BN19" s="108" t="s">
        <v>116</v>
      </c>
      <c r="BO19" s="108" t="s">
        <v>115</v>
      </c>
      <c r="BP19" s="108" t="s">
        <v>113</v>
      </c>
      <c r="BQ19" s="108" t="s">
        <v>113</v>
      </c>
      <c r="BR19" s="108" t="s">
        <v>116</v>
      </c>
      <c r="BS19" s="108" t="s">
        <v>117</v>
      </c>
      <c r="BT19" s="108" t="s">
        <v>118</v>
      </c>
      <c r="BU19" s="108" t="s">
        <v>119</v>
      </c>
      <c r="BV19" s="108" t="s">
        <v>120</v>
      </c>
      <c r="BW19" s="108" t="s">
        <v>113</v>
      </c>
      <c r="BX19" s="108" t="s">
        <v>114</v>
      </c>
      <c r="BY19" s="108" t="s">
        <v>115</v>
      </c>
      <c r="BZ19" s="108" t="s">
        <v>116</v>
      </c>
      <c r="CA19" s="108" t="s">
        <v>115</v>
      </c>
      <c r="CB19" s="108" t="s">
        <v>113</v>
      </c>
      <c r="CC19" s="108" t="s">
        <v>113</v>
      </c>
      <c r="CD19" s="108" t="s">
        <v>116</v>
      </c>
      <c r="CE19" s="108" t="s">
        <v>117</v>
      </c>
      <c r="CF19" s="108" t="s">
        <v>118</v>
      </c>
      <c r="CG19" s="108" t="s">
        <v>119</v>
      </c>
      <c r="CH19" s="108" t="s">
        <v>120</v>
      </c>
      <c r="CI19" s="108" t="s">
        <v>113</v>
      </c>
      <c r="CJ19" s="108" t="s">
        <v>114</v>
      </c>
      <c r="CK19" s="108" t="s">
        <v>115</v>
      </c>
      <c r="CL19" s="108" t="s">
        <v>116</v>
      </c>
      <c r="CM19" s="108" t="s">
        <v>115</v>
      </c>
      <c r="CN19" s="108" t="s">
        <v>113</v>
      </c>
      <c r="CO19" s="108" t="s">
        <v>113</v>
      </c>
      <c r="CP19" s="108" t="s">
        <v>116</v>
      </c>
      <c r="CQ19" s="108" t="s">
        <v>117</v>
      </c>
      <c r="CR19" s="108" t="s">
        <v>118</v>
      </c>
      <c r="CS19" s="108" t="s">
        <v>119</v>
      </c>
      <c r="CT19" s="108" t="s">
        <v>120</v>
      </c>
      <c r="CU19" s="108" t="s">
        <v>113</v>
      </c>
      <c r="CV19" s="108" t="s">
        <v>114</v>
      </c>
      <c r="CW19" s="108" t="s">
        <v>115</v>
      </c>
      <c r="CX19" s="108" t="s">
        <v>116</v>
      </c>
      <c r="CY19" s="108" t="s">
        <v>115</v>
      </c>
      <c r="CZ19" s="108" t="s">
        <v>113</v>
      </c>
      <c r="DA19" s="108" t="s">
        <v>113</v>
      </c>
      <c r="DB19" s="108" t="s">
        <v>116</v>
      </c>
      <c r="DC19" s="108" t="s">
        <v>117</v>
      </c>
      <c r="DD19" s="108" t="s">
        <v>118</v>
      </c>
      <c r="DE19" s="108" t="s">
        <v>119</v>
      </c>
      <c r="DF19" s="108" t="s">
        <v>120</v>
      </c>
      <c r="DG19" s="108" t="s">
        <v>113</v>
      </c>
      <c r="DH19" s="108" t="s">
        <v>114</v>
      </c>
      <c r="DI19" s="108" t="s">
        <v>115</v>
      </c>
      <c r="DJ19" s="108" t="s">
        <v>116</v>
      </c>
      <c r="DK19" s="108" t="s">
        <v>115</v>
      </c>
      <c r="DL19" s="108" t="s">
        <v>113</v>
      </c>
      <c r="DM19" s="108" t="s">
        <v>113</v>
      </c>
      <c r="DN19" s="108" t="s">
        <v>116</v>
      </c>
      <c r="DO19" s="108" t="s">
        <v>117</v>
      </c>
      <c r="DP19" s="108" t="s">
        <v>118</v>
      </c>
      <c r="DQ19" s="108" t="s">
        <v>119</v>
      </c>
      <c r="DR19" s="120" t="s">
        <v>120</v>
      </c>
      <c r="DS19" s="143"/>
      <c r="DT19" s="143"/>
      <c r="DU19" s="144" t="s">
        <v>162</v>
      </c>
      <c r="DV19" s="153"/>
      <c r="DW19" s="153"/>
      <c r="DX19" s="159">
        <f>+DX16/(DX18+0.5*DX16)</f>
        <v>1.488095238095238E-2</v>
      </c>
      <c r="DY19" s="153"/>
      <c r="DZ19" s="153"/>
      <c r="EA19" s="153"/>
      <c r="EB19" s="143"/>
      <c r="EC19" s="143"/>
      <c r="ED19" s="143"/>
      <c r="EE19" s="143"/>
      <c r="EF19" s="143"/>
      <c r="EG19" s="143"/>
      <c r="EH19" s="143"/>
      <c r="EI19" s="143"/>
      <c r="EJ19" s="143"/>
      <c r="EK19" s="143"/>
      <c r="EL19" s="143"/>
      <c r="EM19" s="143"/>
      <c r="EN19" s="143"/>
      <c r="EO19" s="143"/>
      <c r="EP19" s="143"/>
    </row>
    <row r="20" spans="1:146" x14ac:dyDescent="0.25">
      <c r="B20" s="121" t="s">
        <v>130</v>
      </c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BL20" s="104"/>
      <c r="BM20" s="104"/>
      <c r="BN20" s="104"/>
      <c r="BO20" s="104"/>
      <c r="BP20" s="104"/>
      <c r="BQ20" s="104"/>
      <c r="BR20" s="104"/>
      <c r="BS20" s="104"/>
      <c r="BT20" s="104"/>
      <c r="BU20" s="104"/>
      <c r="BV20" s="104"/>
      <c r="BW20" s="104"/>
      <c r="BX20" s="104"/>
      <c r="BY20" s="104"/>
      <c r="BZ20" s="104"/>
      <c r="CA20" s="104"/>
      <c r="CB20" s="104"/>
      <c r="CC20" s="104"/>
      <c r="CD20" s="104"/>
      <c r="CE20" s="104"/>
      <c r="CF20" s="104"/>
      <c r="CG20" s="104"/>
      <c r="CH20" s="104"/>
      <c r="CI20" s="104"/>
      <c r="CJ20" s="104"/>
      <c r="CK20" s="104"/>
      <c r="CL20" s="104"/>
      <c r="CM20" s="104"/>
      <c r="CN20" s="104"/>
      <c r="CO20" s="104"/>
      <c r="CP20" s="104"/>
      <c r="CQ20" s="104"/>
      <c r="CR20" s="104"/>
      <c r="CS20" s="104"/>
      <c r="CT20" s="104"/>
      <c r="CU20" s="104"/>
      <c r="CV20" s="104"/>
      <c r="CW20" s="104"/>
      <c r="CX20" s="104"/>
      <c r="CY20" s="104"/>
      <c r="CZ20" s="104"/>
      <c r="DA20" s="104"/>
      <c r="DB20" s="104"/>
      <c r="DC20" s="104"/>
      <c r="DD20" s="104"/>
      <c r="DE20" s="104"/>
      <c r="DF20" s="104"/>
      <c r="DG20" s="104"/>
      <c r="DH20" s="104"/>
      <c r="DI20" s="104"/>
      <c r="DJ20" s="104"/>
      <c r="DK20" s="104"/>
      <c r="DL20" s="104"/>
      <c r="DM20" s="104"/>
      <c r="DN20" s="104"/>
      <c r="DO20" s="104"/>
      <c r="DP20" s="104"/>
      <c r="DQ20" s="104"/>
      <c r="DR20" s="122"/>
      <c r="DT20" s="143"/>
      <c r="DU20" s="144" t="s">
        <v>183</v>
      </c>
      <c r="DV20" s="153"/>
      <c r="DW20" s="153"/>
      <c r="DX20" s="159">
        <f>SQRT(DX19*(1-DX19)/(DX18-1))</f>
        <v>4.6916176028651167E-3</v>
      </c>
      <c r="DY20" s="153"/>
      <c r="DZ20" s="153"/>
      <c r="EA20" s="153"/>
      <c r="EB20" s="143"/>
    </row>
    <row r="21" spans="1:146" s="80" customFormat="1" x14ac:dyDescent="0.25">
      <c r="A21" s="144"/>
      <c r="B21" s="103" t="s">
        <v>131</v>
      </c>
      <c r="C21" s="123"/>
      <c r="D21" s="123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123"/>
      <c r="BB21" s="123"/>
      <c r="BC21" s="123"/>
      <c r="BD21" s="123"/>
      <c r="BE21" s="123"/>
      <c r="BF21" s="123"/>
      <c r="BG21" s="123"/>
      <c r="BH21" s="123"/>
      <c r="BI21" s="123"/>
      <c r="BJ21" s="123"/>
      <c r="BK21" s="123"/>
      <c r="BL21" s="123"/>
      <c r="BM21" s="123"/>
      <c r="BN21" s="123"/>
      <c r="BO21" s="123"/>
      <c r="BP21" s="123"/>
      <c r="BQ21" s="123"/>
      <c r="BR21" s="123"/>
      <c r="BS21" s="123"/>
      <c r="BT21" s="123"/>
      <c r="BU21" s="123"/>
      <c r="BV21" s="123"/>
      <c r="BW21" s="123"/>
      <c r="BX21" s="123"/>
      <c r="BY21" s="123"/>
      <c r="BZ21" s="123"/>
      <c r="CA21" s="123"/>
      <c r="CB21" s="123"/>
      <c r="CC21" s="123"/>
      <c r="CD21" s="123"/>
      <c r="CE21" s="123"/>
      <c r="CF21" s="123"/>
      <c r="CG21" s="123"/>
      <c r="CH21" s="123"/>
      <c r="CI21" s="123"/>
      <c r="CJ21" s="123"/>
      <c r="CK21" s="123"/>
      <c r="CL21" s="123"/>
      <c r="CM21" s="123"/>
      <c r="CN21" s="123"/>
      <c r="CO21" s="123"/>
      <c r="CP21" s="123"/>
      <c r="CQ21" s="123"/>
      <c r="CR21" s="123"/>
      <c r="CS21" s="123"/>
      <c r="CT21" s="123"/>
      <c r="CU21" s="123"/>
      <c r="CV21" s="123"/>
      <c r="CW21" s="123"/>
      <c r="CX21" s="123"/>
      <c r="CY21" s="123"/>
      <c r="CZ21" s="123"/>
      <c r="DA21" s="123"/>
      <c r="DB21" s="123"/>
      <c r="DC21" s="123"/>
      <c r="DD21" s="123"/>
      <c r="DE21" s="123"/>
      <c r="DF21" s="123"/>
      <c r="DG21" s="123"/>
      <c r="DH21" s="123"/>
      <c r="DI21" s="123"/>
      <c r="DJ21" s="123"/>
      <c r="DK21" s="123"/>
      <c r="DL21" s="123"/>
      <c r="DM21" s="123"/>
      <c r="DN21" s="123"/>
      <c r="DO21" s="123"/>
      <c r="DP21" s="123"/>
      <c r="DQ21" s="123"/>
      <c r="DR21" s="124"/>
      <c r="DS21" s="144"/>
      <c r="DT21" s="144"/>
      <c r="DU21" s="144" t="s">
        <v>187</v>
      </c>
      <c r="DV21" s="144"/>
      <c r="DW21" s="144"/>
      <c r="DX21" s="144"/>
      <c r="DY21" s="144"/>
      <c r="DZ21" s="153">
        <v>556</v>
      </c>
      <c r="EA21" s="144"/>
      <c r="EB21" s="144"/>
      <c r="EC21" s="144"/>
      <c r="ED21" s="144"/>
      <c r="EE21" s="144"/>
      <c r="EF21" s="144"/>
      <c r="EG21" s="144"/>
      <c r="EH21" s="144"/>
      <c r="EI21" s="144"/>
      <c r="EJ21" s="144"/>
      <c r="EK21" s="144"/>
      <c r="EL21" s="144"/>
      <c r="EM21" s="144"/>
      <c r="EN21" s="144"/>
      <c r="EO21" s="144"/>
      <c r="EP21" s="144"/>
    </row>
    <row r="22" spans="1:146" x14ac:dyDescent="0.25">
      <c r="B22" s="113" t="s">
        <v>137</v>
      </c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4"/>
      <c r="AM22" s="114"/>
      <c r="AN22" s="114"/>
      <c r="AO22" s="114"/>
      <c r="AP22" s="114"/>
      <c r="AQ22" s="114"/>
      <c r="AR22" s="114"/>
      <c r="AS22" s="114"/>
      <c r="AT22" s="114"/>
      <c r="AU22" s="114"/>
      <c r="AV22" s="114"/>
      <c r="AW22" s="114"/>
      <c r="AX22" s="114"/>
      <c r="AY22" s="114"/>
      <c r="AZ22" s="114"/>
      <c r="BA22" s="114"/>
      <c r="BB22" s="114"/>
      <c r="BC22" s="114"/>
      <c r="BD22" s="114"/>
      <c r="BE22" s="114"/>
      <c r="BF22" s="114"/>
      <c r="BG22" s="114"/>
      <c r="BH22" s="114"/>
      <c r="BI22" s="114"/>
      <c r="BJ22" s="114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/>
      <c r="BX22" s="100"/>
      <c r="BY22" s="100"/>
      <c r="BZ22" s="100"/>
      <c r="CA22" s="100"/>
      <c r="CB22" s="100"/>
      <c r="CC22" s="100"/>
      <c r="CD22" s="100"/>
      <c r="CE22" s="100"/>
      <c r="CF22" s="100"/>
      <c r="CG22" s="100"/>
      <c r="CH22" s="100"/>
      <c r="CI22" s="100"/>
      <c r="CJ22" s="100"/>
      <c r="CK22" s="100"/>
      <c r="CL22" s="100"/>
      <c r="CM22" s="100"/>
      <c r="CN22" s="100"/>
      <c r="CO22" s="100"/>
      <c r="CP22" s="100"/>
      <c r="CQ22" s="100"/>
      <c r="CR22" s="100"/>
      <c r="CS22" s="100"/>
      <c r="CT22" s="100"/>
      <c r="CU22" s="100"/>
      <c r="CV22" s="100"/>
      <c r="CW22" s="100"/>
      <c r="CX22" s="100"/>
      <c r="CY22" s="100"/>
      <c r="CZ22" s="100"/>
      <c r="DA22" s="100"/>
      <c r="DB22" s="100"/>
      <c r="DC22" s="100"/>
      <c r="DD22" s="100"/>
      <c r="DE22" s="100"/>
      <c r="DF22" s="100"/>
      <c r="DG22" s="100"/>
      <c r="DH22" s="100"/>
      <c r="DI22" s="100"/>
      <c r="DJ22" s="100"/>
      <c r="DK22" s="100"/>
      <c r="DL22" s="100"/>
      <c r="DM22" s="100"/>
      <c r="DN22" s="100"/>
      <c r="DO22" s="100"/>
      <c r="DP22" s="100"/>
      <c r="DQ22" s="100"/>
      <c r="DR22" s="115"/>
      <c r="DT22" s="143"/>
      <c r="DU22" s="144" t="s">
        <v>186</v>
      </c>
      <c r="DV22" s="143"/>
      <c r="DW22" s="143"/>
      <c r="DX22" s="143"/>
      <c r="DY22" s="143"/>
      <c r="DZ22" s="153">
        <v>425</v>
      </c>
      <c r="EA22" s="143"/>
      <c r="EB22" s="143"/>
    </row>
    <row r="23" spans="1:146" x14ac:dyDescent="0.25">
      <c r="B23" s="116" t="s">
        <v>138</v>
      </c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17"/>
      <c r="AS23" s="117"/>
      <c r="AT23" s="117"/>
      <c r="AU23" s="117"/>
      <c r="AV23" s="117"/>
      <c r="AW23" s="117"/>
      <c r="AX23" s="117"/>
      <c r="AY23" s="117"/>
      <c r="AZ23" s="117"/>
      <c r="BA23" s="117"/>
      <c r="BB23" s="117"/>
      <c r="BC23" s="117"/>
      <c r="BD23" s="117"/>
      <c r="BE23" s="117"/>
      <c r="BF23" s="117"/>
      <c r="BG23" s="117"/>
      <c r="BH23" s="117"/>
      <c r="BI23" s="117"/>
      <c r="BJ23" s="117"/>
      <c r="BK23" s="117"/>
      <c r="BL23" s="117"/>
      <c r="BM23" s="117"/>
      <c r="BN23" s="117"/>
      <c r="BO23" s="117"/>
      <c r="BP23" s="117"/>
      <c r="BQ23" s="117"/>
      <c r="BR23" s="117"/>
      <c r="BS23" s="117"/>
      <c r="BT23" s="117"/>
      <c r="BU23" s="117"/>
      <c r="BV23" s="117"/>
      <c r="BW23" s="117"/>
      <c r="BX23" s="117"/>
      <c r="BY23" s="117"/>
      <c r="BZ23" s="117"/>
      <c r="CA23" s="117"/>
      <c r="CB23" s="117"/>
      <c r="CC23" s="117"/>
      <c r="CD23" s="117"/>
      <c r="CE23" s="117"/>
      <c r="CF23" s="117"/>
      <c r="CG23" s="117"/>
      <c r="CH23" s="117"/>
      <c r="CI23" s="117"/>
      <c r="CJ23" s="117"/>
      <c r="CK23" s="117"/>
      <c r="CL23" s="117"/>
      <c r="CM23" s="117"/>
      <c r="CN23" s="117"/>
      <c r="CO23" s="117"/>
      <c r="CP23" s="117"/>
      <c r="CQ23" s="117"/>
      <c r="CR23" s="117"/>
      <c r="CS23" s="117"/>
      <c r="CT23" s="117"/>
      <c r="CU23" s="117"/>
      <c r="CV23" s="117"/>
      <c r="CW23" s="117"/>
      <c r="CX23" s="117"/>
      <c r="CY23" s="117"/>
      <c r="CZ23" s="117"/>
      <c r="DA23" s="117"/>
      <c r="DB23" s="117"/>
      <c r="DC23" s="117"/>
      <c r="DD23" s="117"/>
      <c r="DE23" s="117"/>
      <c r="DF23" s="117"/>
      <c r="DG23" s="117"/>
      <c r="DH23" s="117"/>
      <c r="DI23" s="117"/>
      <c r="DJ23" s="117"/>
      <c r="DK23" s="117"/>
      <c r="DL23" s="117"/>
      <c r="DM23" s="117"/>
      <c r="DN23" s="117"/>
      <c r="DO23" s="117"/>
      <c r="DP23" s="117"/>
      <c r="DQ23" s="117"/>
      <c r="DR23" s="118"/>
      <c r="DT23" s="143"/>
      <c r="DU23" s="144" t="s">
        <v>185</v>
      </c>
      <c r="DV23" s="143"/>
      <c r="DW23" s="143"/>
      <c r="DX23" s="143"/>
      <c r="DY23" s="143"/>
      <c r="DZ23" s="153">
        <v>451</v>
      </c>
      <c r="EA23" s="143"/>
      <c r="EB23" s="143"/>
    </row>
    <row r="24" spans="1:146" x14ac:dyDescent="0.25">
      <c r="B24" s="103" t="s">
        <v>139</v>
      </c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BL24" s="104"/>
      <c r="BM24" s="104"/>
      <c r="BN24" s="104"/>
      <c r="BO24" s="104"/>
      <c r="BP24" s="104"/>
      <c r="BQ24" s="104"/>
      <c r="BR24" s="104"/>
      <c r="BS24" s="104"/>
      <c r="BT24" s="104"/>
      <c r="BU24" s="104"/>
      <c r="BV24" s="104"/>
      <c r="BW24" s="104"/>
      <c r="BX24" s="104"/>
      <c r="BY24" s="104"/>
      <c r="BZ24" s="104"/>
      <c r="CA24" s="104"/>
      <c r="CB24" s="104"/>
      <c r="CC24" s="104"/>
      <c r="CD24" s="104"/>
      <c r="CE24" s="104"/>
      <c r="CF24" s="104"/>
      <c r="CG24" s="104"/>
      <c r="CH24" s="104"/>
      <c r="CI24" s="104"/>
      <c r="CJ24" s="104"/>
      <c r="CK24" s="104"/>
      <c r="CL24" s="104"/>
      <c r="CM24" s="104"/>
      <c r="CN24" s="104"/>
      <c r="CO24" s="104"/>
      <c r="CP24" s="104"/>
      <c r="CQ24" s="104"/>
      <c r="CR24" s="104"/>
      <c r="CS24" s="104"/>
      <c r="CT24" s="104"/>
      <c r="CU24" s="104"/>
      <c r="CV24" s="104"/>
      <c r="CW24" s="104"/>
      <c r="CX24" s="104"/>
      <c r="CY24" s="104"/>
      <c r="CZ24" s="104"/>
      <c r="DA24" s="104"/>
      <c r="DB24" s="104"/>
      <c r="DC24" s="104"/>
      <c r="DD24" s="104"/>
      <c r="DE24" s="104"/>
      <c r="DF24" s="104"/>
      <c r="DG24" s="104"/>
      <c r="DH24" s="104"/>
      <c r="DI24" s="104"/>
      <c r="DJ24" s="104"/>
      <c r="DK24" s="104"/>
      <c r="DL24" s="104"/>
      <c r="DM24" s="104"/>
      <c r="DN24" s="104"/>
      <c r="DO24" s="104"/>
      <c r="DP24" s="104"/>
      <c r="DQ24" s="104"/>
      <c r="DR24" s="122"/>
      <c r="DT24" s="143"/>
      <c r="DU24" s="144" t="s">
        <v>174</v>
      </c>
      <c r="DV24" s="157">
        <f>(DV10/1000-(1.96*(SQRT(DV10/1000*(1-DV10/1000)/(DV17-1)))))*1000</f>
        <v>-3.086816720257235</v>
      </c>
      <c r="DW24" s="152"/>
      <c r="DX24" s="153"/>
      <c r="DY24" s="153"/>
      <c r="DZ24" s="157">
        <f>(DZ10/1000-(1.96*(SQRT(DZ10/1000*(1-DZ10/1000)/(DZ21-1)))))*1000</f>
        <v>-1.3837415224667633</v>
      </c>
      <c r="EA24" s="153"/>
      <c r="EB24" s="143"/>
    </row>
    <row r="25" spans="1:146" x14ac:dyDescent="0.25">
      <c r="B25" s="113" t="s">
        <v>140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0"/>
      <c r="AI25" s="100"/>
      <c r="AJ25" s="100"/>
      <c r="AK25" s="100"/>
      <c r="AL25" s="100"/>
      <c r="AM25" s="100"/>
      <c r="AN25" s="100"/>
      <c r="AO25" s="100"/>
      <c r="AP25" s="100"/>
      <c r="AQ25" s="100"/>
      <c r="AR25" s="100"/>
      <c r="AS25" s="100"/>
      <c r="AT25" s="100"/>
      <c r="AU25" s="100"/>
      <c r="AV25" s="100"/>
      <c r="AW25" s="100"/>
      <c r="AX25" s="100"/>
      <c r="AY25" s="100"/>
      <c r="AZ25" s="100"/>
      <c r="BA25" s="100"/>
      <c r="BB25" s="100"/>
      <c r="BC25" s="100"/>
      <c r="BD25" s="100"/>
      <c r="BE25" s="100"/>
      <c r="BF25" s="100"/>
      <c r="BG25" s="100"/>
      <c r="BH25" s="100"/>
      <c r="BI25" s="100"/>
      <c r="BJ25" s="100"/>
      <c r="BK25" s="100"/>
      <c r="BL25" s="100"/>
      <c r="BM25" s="100"/>
      <c r="BN25" s="100"/>
      <c r="BO25" s="100"/>
      <c r="BP25" s="100"/>
      <c r="BQ25" s="100"/>
      <c r="BR25" s="100"/>
      <c r="BS25" s="100"/>
      <c r="BT25" s="100"/>
      <c r="BU25" s="100"/>
      <c r="BV25" s="100"/>
      <c r="BW25" s="114"/>
      <c r="BX25" s="114"/>
      <c r="BY25" s="114"/>
      <c r="BZ25" s="114"/>
      <c r="CA25" s="114"/>
      <c r="CB25" s="114"/>
      <c r="CC25" s="114"/>
      <c r="CD25" s="114"/>
      <c r="CE25" s="114"/>
      <c r="CF25" s="114"/>
      <c r="CG25" s="114"/>
      <c r="CH25" s="114"/>
      <c r="CI25" s="114"/>
      <c r="CJ25" s="114"/>
      <c r="CK25" s="114"/>
      <c r="CL25" s="114"/>
      <c r="CM25" s="114"/>
      <c r="CN25" s="114"/>
      <c r="CO25" s="114"/>
      <c r="CP25" s="114"/>
      <c r="CQ25" s="114"/>
      <c r="CR25" s="114"/>
      <c r="CS25" s="114"/>
      <c r="CT25" s="114"/>
      <c r="CU25" s="114"/>
      <c r="CV25" s="114"/>
      <c r="CW25" s="114"/>
      <c r="CX25" s="114"/>
      <c r="CY25" s="114"/>
      <c r="CZ25" s="114"/>
      <c r="DA25" s="114"/>
      <c r="DB25" s="114"/>
      <c r="DC25" s="114"/>
      <c r="DD25" s="114"/>
      <c r="DE25" s="114"/>
      <c r="DF25" s="114"/>
      <c r="DG25" s="100"/>
      <c r="DH25" s="100"/>
      <c r="DI25" s="100"/>
      <c r="DJ25" s="100"/>
      <c r="DK25" s="100"/>
      <c r="DL25" s="100"/>
      <c r="DM25" s="100"/>
      <c r="DN25" s="100"/>
      <c r="DO25" s="100"/>
      <c r="DP25" s="100"/>
      <c r="DQ25" s="100"/>
      <c r="DR25" s="115"/>
      <c r="DT25" s="143"/>
      <c r="DU25" s="144" t="s">
        <v>175</v>
      </c>
      <c r="DV25" s="157">
        <f>(DV10/1000+(1.96*(SQRT(DV10/1000*(1-DV10/1000)/(DV17-1)))))*1000</f>
        <v>9.5176848874598079</v>
      </c>
      <c r="DW25" s="152"/>
      <c r="DX25" s="153"/>
      <c r="DY25" s="153"/>
      <c r="DZ25" s="157">
        <f>(DZ10/1000+(1.96*(SQRT(DZ10/1000*(1-DZ10/1000)/(DZ21-1)))))*1000</f>
        <v>8.5779861267833102</v>
      </c>
      <c r="EA25" s="153"/>
      <c r="EB25" s="143"/>
    </row>
    <row r="26" spans="1:146" x14ac:dyDescent="0.25">
      <c r="B26" s="116" t="s">
        <v>141</v>
      </c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  <c r="BM26" s="104"/>
      <c r="BN26" s="104"/>
      <c r="BO26" s="104"/>
      <c r="BP26" s="104"/>
      <c r="BQ26" s="104"/>
      <c r="BR26" s="104"/>
      <c r="BS26" s="104"/>
      <c r="BT26" s="104"/>
      <c r="BU26" s="104"/>
      <c r="BV26" s="104"/>
      <c r="BW26" s="117"/>
      <c r="BX26" s="117"/>
      <c r="BY26" s="117"/>
      <c r="BZ26" s="117"/>
      <c r="CA26" s="117"/>
      <c r="CB26" s="117"/>
      <c r="CC26" s="117"/>
      <c r="CD26" s="117"/>
      <c r="CE26" s="117"/>
      <c r="CF26" s="117"/>
      <c r="CG26" s="117"/>
      <c r="CH26" s="117"/>
      <c r="CI26" s="117"/>
      <c r="CJ26" s="117"/>
      <c r="CK26" s="117"/>
      <c r="CL26" s="117"/>
      <c r="CM26" s="117"/>
      <c r="CN26" s="117"/>
      <c r="CO26" s="117"/>
      <c r="CP26" s="117"/>
      <c r="CQ26" s="117"/>
      <c r="CR26" s="117"/>
      <c r="CS26" s="117"/>
      <c r="CT26" s="117"/>
      <c r="CU26" s="117"/>
      <c r="CV26" s="117"/>
      <c r="CW26" s="117"/>
      <c r="CX26" s="117"/>
      <c r="CY26" s="117"/>
      <c r="CZ26" s="117"/>
      <c r="DA26" s="117"/>
      <c r="DB26" s="117"/>
      <c r="DC26" s="117"/>
      <c r="DD26" s="117"/>
      <c r="DE26" s="117"/>
      <c r="DF26" s="117"/>
      <c r="DG26" s="117"/>
      <c r="DH26" s="117"/>
      <c r="DI26" s="117"/>
      <c r="DJ26" s="117"/>
      <c r="DK26" s="117"/>
      <c r="DL26" s="117"/>
      <c r="DM26" s="117"/>
      <c r="DN26" s="117"/>
      <c r="DO26" s="117"/>
      <c r="DP26" s="117"/>
      <c r="DQ26" s="117"/>
      <c r="DR26" s="118"/>
      <c r="DT26" s="143"/>
      <c r="DU26" s="144" t="s">
        <v>178</v>
      </c>
      <c r="DV26" s="157">
        <f>(DV11/1000-(1.96*(SQRT(DV11/1000*(1-DV11/1000)/(DV17-1)))))*1000</f>
        <v>17.144405702280352</v>
      </c>
      <c r="DW26" s="152"/>
      <c r="DX26" s="153"/>
      <c r="DY26" s="153"/>
      <c r="DZ26" s="157">
        <f>(DZ11/1000-(1.96*(SQRT(DZ11/1000*(1-DZ11/1000)/(DZ22-1)))))*1000</f>
        <v>17.730184681957148</v>
      </c>
      <c r="EA26" s="143"/>
      <c r="EB26" s="143"/>
    </row>
    <row r="27" spans="1:146" x14ac:dyDescent="0.25">
      <c r="B27" s="103" t="s">
        <v>142</v>
      </c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BL27" s="104"/>
      <c r="BM27" s="104"/>
      <c r="BN27" s="104"/>
      <c r="BO27" s="104"/>
      <c r="BP27" s="104"/>
      <c r="BQ27" s="104"/>
      <c r="BR27" s="104"/>
      <c r="BS27" s="104"/>
      <c r="BT27" s="104"/>
      <c r="BU27" s="104"/>
      <c r="BV27" s="104"/>
      <c r="BW27" s="104"/>
      <c r="BX27" s="104"/>
      <c r="BY27" s="104"/>
      <c r="BZ27" s="104"/>
      <c r="CA27" s="104"/>
      <c r="CB27" s="104"/>
      <c r="CC27" s="104"/>
      <c r="CD27" s="104"/>
      <c r="CE27" s="104"/>
      <c r="CF27" s="104"/>
      <c r="CG27" s="104"/>
      <c r="CH27" s="104"/>
      <c r="CI27" s="104"/>
      <c r="CJ27" s="104"/>
      <c r="CK27" s="104"/>
      <c r="CL27" s="104"/>
      <c r="CM27" s="104"/>
      <c r="CN27" s="104"/>
      <c r="CO27" s="104"/>
      <c r="CP27" s="104"/>
      <c r="CQ27" s="104"/>
      <c r="CR27" s="104"/>
      <c r="CS27" s="104"/>
      <c r="CT27" s="104"/>
      <c r="CU27" s="104"/>
      <c r="CV27" s="104"/>
      <c r="CW27" s="104"/>
      <c r="CX27" s="104"/>
      <c r="CY27" s="104"/>
      <c r="CZ27" s="104"/>
      <c r="DA27" s="104"/>
      <c r="DB27" s="104"/>
      <c r="DC27" s="104"/>
      <c r="DD27" s="104"/>
      <c r="DE27" s="104"/>
      <c r="DF27" s="104"/>
      <c r="DG27" s="104"/>
      <c r="DH27" s="104"/>
      <c r="DI27" s="104"/>
      <c r="DJ27" s="104"/>
      <c r="DK27" s="104"/>
      <c r="DL27" s="104"/>
      <c r="DM27" s="104"/>
      <c r="DN27" s="104"/>
      <c r="DO27" s="104"/>
      <c r="DP27" s="104"/>
      <c r="DQ27" s="104"/>
      <c r="DR27" s="122"/>
      <c r="DT27" s="143"/>
      <c r="DU27" s="144" t="s">
        <v>179</v>
      </c>
      <c r="DV27" s="157">
        <f>(DV11/1000+(1.96*(SQRT(DV11/1000*(1-DV11/1000)/(DV17-1)))))*1000</f>
        <v>60.02601230415052</v>
      </c>
      <c r="DW27" s="152"/>
      <c r="DX27" s="153"/>
      <c r="DY27" s="153"/>
      <c r="DZ27" s="157">
        <f>(DZ11/1000+(1.96*(SQRT(DZ11/1000*(1-DZ11/1000)/(DZ22-1)))))*1000</f>
        <v>52.858050612160497</v>
      </c>
      <c r="EA27" s="143"/>
      <c r="EB27" s="143"/>
    </row>
    <row r="28" spans="1:146" x14ac:dyDescent="0.25">
      <c r="B28" s="113" t="s">
        <v>143</v>
      </c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00"/>
      <c r="AL28" s="100"/>
      <c r="AM28" s="100"/>
      <c r="AN28" s="100"/>
      <c r="AO28" s="100"/>
      <c r="AP28" s="100"/>
      <c r="AQ28" s="100"/>
      <c r="AR28" s="100"/>
      <c r="AS28" s="100"/>
      <c r="AT28" s="100"/>
      <c r="AU28" s="100"/>
      <c r="AV28" s="100"/>
      <c r="AW28" s="100"/>
      <c r="AX28" s="100"/>
      <c r="AY28" s="100"/>
      <c r="AZ28" s="100"/>
      <c r="BA28" s="100"/>
      <c r="BB28" s="100"/>
      <c r="BC28" s="100"/>
      <c r="BD28" s="100"/>
      <c r="BE28" s="100"/>
      <c r="BF28" s="100"/>
      <c r="BG28" s="100"/>
      <c r="BH28" s="100"/>
      <c r="BI28" s="100"/>
      <c r="BJ28" s="100"/>
      <c r="BK28" s="100"/>
      <c r="BL28" s="100"/>
      <c r="BM28" s="100"/>
      <c r="BN28" s="100"/>
      <c r="BO28" s="100"/>
      <c r="BP28" s="100"/>
      <c r="BQ28" s="100"/>
      <c r="BR28" s="100"/>
      <c r="BS28" s="100"/>
      <c r="BT28" s="100"/>
      <c r="BU28" s="100"/>
      <c r="BV28" s="100"/>
      <c r="BW28" s="114"/>
      <c r="BX28" s="114"/>
      <c r="BY28" s="114"/>
      <c r="BZ28" s="114"/>
      <c r="CA28" s="114"/>
      <c r="CB28" s="114"/>
      <c r="CC28" s="114"/>
      <c r="CD28" s="114"/>
      <c r="CE28" s="114"/>
      <c r="CF28" s="114"/>
      <c r="CG28" s="114"/>
      <c r="CH28" s="114"/>
      <c r="CI28" s="114"/>
      <c r="CJ28" s="114"/>
      <c r="CK28" s="114"/>
      <c r="CL28" s="114"/>
      <c r="CM28" s="114"/>
      <c r="CN28" s="114"/>
      <c r="CO28" s="114"/>
      <c r="CP28" s="114"/>
      <c r="CQ28" s="114"/>
      <c r="CR28" s="114"/>
      <c r="CS28" s="114"/>
      <c r="CT28" s="114"/>
      <c r="CU28" s="114"/>
      <c r="CV28" s="114"/>
      <c r="CW28" s="114"/>
      <c r="CX28" s="114"/>
      <c r="CY28" s="114"/>
      <c r="CZ28" s="114"/>
      <c r="DA28" s="114"/>
      <c r="DB28" s="114"/>
      <c r="DC28" s="114"/>
      <c r="DD28" s="114"/>
      <c r="DE28" s="114"/>
      <c r="DF28" s="114"/>
      <c r="DG28" s="114"/>
      <c r="DH28" s="114"/>
      <c r="DI28" s="114"/>
      <c r="DJ28" s="114"/>
      <c r="DK28" s="114"/>
      <c r="DL28" s="114"/>
      <c r="DM28" s="114"/>
      <c r="DN28" s="114"/>
      <c r="DO28" s="114"/>
      <c r="DP28" s="114"/>
      <c r="DQ28" s="114"/>
      <c r="DR28" s="115"/>
      <c r="DT28" s="143"/>
      <c r="DU28" s="144" t="s">
        <v>176</v>
      </c>
      <c r="DV28" s="157">
        <f>(DV12/1000-(1.96*(SQRT(DV12/1000*(1-DV12/1000)/(DV17-1)))))*1000</f>
        <v>42.198161334669635</v>
      </c>
      <c r="DW28" s="143"/>
      <c r="DX28" s="157">
        <f>1000*(1-EXP((-5)*(DX19-(1.96*DX20))))</f>
        <v>28.026666332690798</v>
      </c>
      <c r="DY28" s="143"/>
      <c r="DZ28" s="157">
        <f>(DZ12/1000-(1.96*(SQRT(DZ12/1000*(1-DZ12/1000)/(DZ23-1)))))*1000</f>
        <v>79.894372331624922</v>
      </c>
      <c r="EA28" s="143"/>
      <c r="EB28" s="143"/>
    </row>
    <row r="29" spans="1:146" ht="15.75" thickBot="1" x14ac:dyDescent="0.3">
      <c r="B29" s="95" t="s">
        <v>144</v>
      </c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86"/>
      <c r="BC29" s="86"/>
      <c r="BD29" s="86"/>
      <c r="BE29" s="86"/>
      <c r="BF29" s="86"/>
      <c r="BG29" s="86"/>
      <c r="BH29" s="86"/>
      <c r="BI29" s="86"/>
      <c r="BJ29" s="86"/>
      <c r="BK29" s="86"/>
      <c r="BL29" s="86"/>
      <c r="BM29" s="86"/>
      <c r="BN29" s="86"/>
      <c r="BO29" s="86"/>
      <c r="BP29" s="86"/>
      <c r="BQ29" s="86"/>
      <c r="BR29" s="86"/>
      <c r="BS29" s="86"/>
      <c r="BT29" s="86"/>
      <c r="BU29" s="86"/>
      <c r="BV29" s="86"/>
      <c r="BW29" s="97"/>
      <c r="BX29" s="97"/>
      <c r="BY29" s="97"/>
      <c r="BZ29" s="97"/>
      <c r="CA29" s="97"/>
      <c r="CB29" s="97"/>
      <c r="CC29" s="97"/>
      <c r="CD29" s="97"/>
      <c r="CE29" s="97"/>
      <c r="CF29" s="97"/>
      <c r="CG29" s="97"/>
      <c r="CH29" s="97"/>
      <c r="CI29" s="97"/>
      <c r="CJ29" s="97"/>
      <c r="CK29" s="97"/>
      <c r="CL29" s="97"/>
      <c r="CM29" s="97"/>
      <c r="CN29" s="97"/>
      <c r="CO29" s="97"/>
      <c r="CP29" s="97"/>
      <c r="CQ29" s="97"/>
      <c r="CR29" s="97"/>
      <c r="CS29" s="97"/>
      <c r="CT29" s="97"/>
      <c r="CU29" s="97"/>
      <c r="CV29" s="97"/>
      <c r="CW29" s="97"/>
      <c r="CX29" s="97"/>
      <c r="CY29" s="97"/>
      <c r="CZ29" s="97"/>
      <c r="DA29" s="97"/>
      <c r="DB29" s="97"/>
      <c r="DC29" s="97"/>
      <c r="DD29" s="97"/>
      <c r="DE29" s="97"/>
      <c r="DF29" s="97"/>
      <c r="DG29" s="97"/>
      <c r="DH29" s="97"/>
      <c r="DI29" s="97"/>
      <c r="DJ29" s="97"/>
      <c r="DK29" s="97"/>
      <c r="DL29" s="97"/>
      <c r="DM29" s="97"/>
      <c r="DN29" s="97"/>
      <c r="DO29" s="97"/>
      <c r="DP29" s="97"/>
      <c r="DQ29" s="97"/>
      <c r="DR29" s="98"/>
      <c r="DT29" s="143"/>
      <c r="DU29" s="144" t="s">
        <v>177</v>
      </c>
      <c r="DV29" s="157">
        <f>(DV12/1000+(1.96*(SQRT(DV12/1000*(1-DV12/1000)/(DV17-1)))))*1000</f>
        <v>99.280938343786957</v>
      </c>
      <c r="DW29" s="143"/>
      <c r="DX29" s="157">
        <f>1000*(1-EXP((-5)*(DX19+(1.96*DX20))))</f>
        <v>113.41884691343019</v>
      </c>
      <c r="DZ29" s="157">
        <f>(DZ12/1000+(1.96*(SQRT(DZ12/1000*(1-DZ12/1000)/(DZ23-1)))))*1000</f>
        <v>137.40052789010457</v>
      </c>
      <c r="EA29" s="143"/>
      <c r="EB29" s="143"/>
    </row>
    <row r="30" spans="1:146" x14ac:dyDescent="0.25">
      <c r="B30" s="125" t="s">
        <v>145</v>
      </c>
      <c r="C30" s="104"/>
      <c r="D30" s="104"/>
      <c r="E30" s="104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BL30" s="104"/>
      <c r="BM30" s="104"/>
      <c r="BN30" s="104"/>
      <c r="BO30" s="104"/>
      <c r="BP30" s="104"/>
      <c r="BQ30" s="104"/>
      <c r="BR30" s="104"/>
      <c r="BS30" s="104"/>
      <c r="BT30" s="104"/>
      <c r="BU30" s="104"/>
      <c r="BV30" s="104"/>
      <c r="BW30" s="104"/>
      <c r="BX30" s="104"/>
      <c r="BY30" s="104"/>
      <c r="BZ30" s="104"/>
      <c r="CA30" s="104"/>
      <c r="CB30" s="104"/>
      <c r="CC30" s="104"/>
      <c r="CD30" s="104"/>
      <c r="CE30" s="104"/>
      <c r="CF30" s="104"/>
      <c r="CG30" s="104"/>
      <c r="CH30" s="104"/>
      <c r="CI30" s="104"/>
      <c r="CJ30" s="104"/>
      <c r="CK30" s="104"/>
      <c r="CL30" s="104"/>
      <c r="CM30" s="104"/>
      <c r="CN30" s="104"/>
      <c r="CO30" s="104"/>
      <c r="CP30" s="104"/>
      <c r="CQ30" s="104"/>
      <c r="CR30" s="104"/>
      <c r="CS30" s="104"/>
      <c r="CT30" s="104"/>
      <c r="CU30" s="104"/>
      <c r="CV30" s="104"/>
      <c r="CW30" s="104"/>
      <c r="CX30" s="104"/>
      <c r="CY30" s="104"/>
      <c r="CZ30" s="104"/>
      <c r="DA30" s="104"/>
      <c r="DB30" s="104"/>
      <c r="DC30" s="104"/>
      <c r="DD30" s="104"/>
      <c r="DE30" s="104"/>
      <c r="DF30" s="104"/>
      <c r="DG30" s="104"/>
      <c r="DH30" s="104"/>
      <c r="DI30" s="104"/>
      <c r="DJ30" s="104"/>
      <c r="DK30" s="104"/>
      <c r="DL30" s="104"/>
      <c r="DM30" s="104"/>
      <c r="DN30" s="104"/>
      <c r="DO30" s="104"/>
      <c r="DP30" s="104"/>
      <c r="DQ30" s="104"/>
      <c r="DR30" s="122"/>
      <c r="DT30" s="143"/>
      <c r="DU30" s="143"/>
      <c r="DV30" s="143"/>
      <c r="DW30" s="143"/>
      <c r="DX30" s="143"/>
      <c r="DY30" s="143"/>
      <c r="DZ30" s="143"/>
      <c r="EA30" s="143"/>
      <c r="EB30" s="143"/>
    </row>
    <row r="31" spans="1:146" x14ac:dyDescent="0.25">
      <c r="B31" s="99" t="s">
        <v>153</v>
      </c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0"/>
      <c r="AN31" s="100"/>
      <c r="AO31" s="100"/>
      <c r="AP31" s="100"/>
      <c r="AQ31" s="100"/>
      <c r="AR31" s="100"/>
      <c r="AS31" s="100"/>
      <c r="AT31" s="100"/>
      <c r="AU31" s="100"/>
      <c r="AV31" s="100"/>
      <c r="AW31" s="100"/>
      <c r="AX31" s="100"/>
      <c r="AY31" s="100"/>
      <c r="AZ31" s="100"/>
      <c r="BA31" s="100"/>
      <c r="BB31" s="100"/>
      <c r="BC31" s="100"/>
      <c r="BD31" s="100"/>
      <c r="BE31" s="100"/>
      <c r="BF31" s="100"/>
      <c r="BG31" s="100"/>
      <c r="BH31" s="100"/>
      <c r="BI31" s="100"/>
      <c r="BJ31" s="130" t="s">
        <v>116</v>
      </c>
      <c r="BK31" s="131"/>
      <c r="BL31" s="131"/>
      <c r="BM31" s="131" t="s">
        <v>121</v>
      </c>
      <c r="BN31" s="131"/>
      <c r="BO31" s="131"/>
      <c r="BP31" s="131"/>
      <c r="BQ31" s="131"/>
      <c r="BR31" s="131"/>
      <c r="BS31" s="131"/>
      <c r="BT31" s="131"/>
      <c r="BU31" s="131"/>
      <c r="BV31" s="131"/>
      <c r="BW31" s="131"/>
      <c r="BX31" s="131"/>
      <c r="BY31" s="131"/>
      <c r="BZ31" s="131"/>
      <c r="CA31" s="131"/>
      <c r="CB31" s="131"/>
      <c r="CC31" s="131"/>
      <c r="CD31" s="131"/>
      <c r="CE31" s="131"/>
      <c r="CF31" s="131"/>
      <c r="CG31" s="131"/>
      <c r="CH31" s="131"/>
      <c r="CI31" s="131"/>
      <c r="CJ31" s="131"/>
      <c r="CK31" s="131"/>
      <c r="CL31" s="131"/>
      <c r="CM31" s="131"/>
      <c r="CN31" s="131"/>
      <c r="CO31" s="131"/>
      <c r="CP31" s="131"/>
      <c r="CQ31" s="131"/>
      <c r="CR31" s="131"/>
      <c r="CS31" s="131"/>
      <c r="CT31" s="131"/>
      <c r="CU31" s="131"/>
      <c r="CV31" s="131"/>
      <c r="CW31" s="131"/>
      <c r="CX31" s="131"/>
      <c r="CY31" s="131"/>
      <c r="CZ31" s="131"/>
      <c r="DA31" s="131"/>
      <c r="DB31" s="131"/>
      <c r="DC31" s="131"/>
      <c r="DD31" s="131"/>
      <c r="DE31" s="131"/>
      <c r="DF31" s="131"/>
      <c r="DG31" s="131"/>
      <c r="DH31" s="131"/>
      <c r="DI31" s="131"/>
      <c r="DJ31" s="131"/>
      <c r="DK31" s="131"/>
      <c r="DL31" s="131"/>
      <c r="DM31" s="131"/>
      <c r="DN31" s="131"/>
      <c r="DO31" s="131"/>
      <c r="DP31" s="131"/>
      <c r="DQ31" s="131"/>
      <c r="DR31" s="132" t="s">
        <v>122</v>
      </c>
      <c r="DT31" s="143"/>
      <c r="DU31" s="143"/>
      <c r="DV31" s="143"/>
      <c r="DW31" s="143"/>
      <c r="DX31" s="143"/>
      <c r="DY31" s="143"/>
      <c r="DZ31" s="143"/>
      <c r="EA31" s="143"/>
      <c r="EB31" s="143"/>
    </row>
    <row r="32" spans="1:146" x14ac:dyDescent="0.25">
      <c r="B32" s="103" t="s">
        <v>146</v>
      </c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33" t="s">
        <v>116</v>
      </c>
      <c r="BI32" s="133"/>
      <c r="BJ32" s="134" t="s">
        <v>121</v>
      </c>
      <c r="BK32" s="134"/>
      <c r="BL32" s="134"/>
      <c r="BM32" s="134"/>
      <c r="BN32" s="134"/>
      <c r="BO32" s="134"/>
      <c r="BP32" s="134"/>
      <c r="BQ32" s="134"/>
      <c r="BR32" s="134"/>
      <c r="BS32" s="134"/>
      <c r="BT32" s="134"/>
      <c r="BU32" s="134"/>
      <c r="BV32" s="134"/>
      <c r="BW32" s="134"/>
      <c r="BX32" s="134"/>
      <c r="BY32" s="134"/>
      <c r="BZ32" s="134"/>
      <c r="CA32" s="134"/>
      <c r="CB32" s="134"/>
      <c r="CC32" s="134"/>
      <c r="CD32" s="134"/>
      <c r="CE32" s="134"/>
      <c r="CF32" s="134"/>
      <c r="CG32" s="134"/>
      <c r="CH32" s="134"/>
      <c r="CI32" s="134"/>
      <c r="CJ32" s="134"/>
      <c r="CK32" s="134"/>
      <c r="CL32" s="134"/>
      <c r="CM32" s="134"/>
      <c r="CN32" s="134"/>
      <c r="CO32" s="134"/>
      <c r="CP32" s="134"/>
      <c r="CQ32" s="134"/>
      <c r="CR32" s="134"/>
      <c r="CS32" s="134"/>
      <c r="CT32" s="134"/>
      <c r="CU32" s="134"/>
      <c r="CV32" s="134"/>
      <c r="CW32" s="134"/>
      <c r="CX32" s="134"/>
      <c r="CY32" s="134"/>
      <c r="CZ32" s="134"/>
      <c r="DA32" s="134"/>
      <c r="DB32" s="134"/>
      <c r="DC32" s="134"/>
      <c r="DD32" s="134"/>
      <c r="DE32" s="134"/>
      <c r="DF32" s="134"/>
      <c r="DG32" s="134"/>
      <c r="DH32" s="134"/>
      <c r="DI32" s="134"/>
      <c r="DJ32" s="134"/>
      <c r="DK32" s="134"/>
      <c r="DL32" s="134"/>
      <c r="DM32" s="134"/>
      <c r="DN32" s="134"/>
      <c r="DO32" s="134"/>
      <c r="DP32" s="135" t="s">
        <v>122</v>
      </c>
      <c r="DQ32" s="135"/>
      <c r="DR32" s="122"/>
      <c r="DT32" s="143"/>
      <c r="DU32" s="143"/>
      <c r="DV32" s="143"/>
      <c r="DW32" s="143"/>
      <c r="DX32" s="143"/>
      <c r="DY32" s="143"/>
      <c r="DZ32" s="143"/>
      <c r="EA32" s="143"/>
      <c r="EB32" s="143"/>
    </row>
    <row r="33" spans="2:132" x14ac:dyDescent="0.25">
      <c r="B33" s="103" t="s">
        <v>147</v>
      </c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33" t="s">
        <v>116</v>
      </c>
      <c r="BF33" s="133"/>
      <c r="BG33" s="133"/>
      <c r="BH33" s="134" t="s">
        <v>121</v>
      </c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  <c r="CT33" s="134"/>
      <c r="CU33" s="134"/>
      <c r="CV33" s="134"/>
      <c r="CW33" s="134"/>
      <c r="CX33" s="134"/>
      <c r="CY33" s="134"/>
      <c r="CZ33" s="134"/>
      <c r="DA33" s="134"/>
      <c r="DB33" s="134"/>
      <c r="DC33" s="134"/>
      <c r="DD33" s="134"/>
      <c r="DE33" s="134"/>
      <c r="DF33" s="134"/>
      <c r="DG33" s="134"/>
      <c r="DH33" s="134"/>
      <c r="DI33" s="134"/>
      <c r="DJ33" s="134"/>
      <c r="DK33" s="134"/>
      <c r="DL33" s="134"/>
      <c r="DM33" s="135" t="s">
        <v>122</v>
      </c>
      <c r="DN33" s="135"/>
      <c r="DO33" s="135"/>
      <c r="DP33" s="104"/>
      <c r="DQ33" s="104"/>
      <c r="DR33" s="122"/>
      <c r="DT33" s="143"/>
      <c r="DU33" s="143"/>
      <c r="DV33" s="143"/>
      <c r="DW33" s="143"/>
      <c r="DX33" s="143"/>
      <c r="DY33" s="143"/>
      <c r="DZ33" s="143"/>
      <c r="EA33" s="143"/>
      <c r="EB33" s="143"/>
    </row>
    <row r="34" spans="2:132" x14ac:dyDescent="0.25">
      <c r="B34" s="103" t="s">
        <v>148</v>
      </c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33" t="s">
        <v>116</v>
      </c>
      <c r="AZ34" s="133"/>
      <c r="BA34" s="133"/>
      <c r="BB34" s="133"/>
      <c r="BC34" s="133"/>
      <c r="BD34" s="133"/>
      <c r="BE34" s="134" t="s">
        <v>121</v>
      </c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  <c r="CT34" s="134"/>
      <c r="CU34" s="134"/>
      <c r="CV34" s="134"/>
      <c r="CW34" s="134"/>
      <c r="CX34" s="134"/>
      <c r="CY34" s="134"/>
      <c r="CZ34" s="134"/>
      <c r="DA34" s="134"/>
      <c r="DB34" s="134"/>
      <c r="DC34" s="134"/>
      <c r="DD34" s="134"/>
      <c r="DE34" s="134"/>
      <c r="DF34" s="134"/>
      <c r="DG34" s="135" t="s">
        <v>122</v>
      </c>
      <c r="DH34" s="135"/>
      <c r="DI34" s="135"/>
      <c r="DJ34" s="135"/>
      <c r="DK34" s="135"/>
      <c r="DL34" s="135"/>
      <c r="DM34" s="104"/>
      <c r="DN34" s="104"/>
      <c r="DO34" s="104"/>
      <c r="DP34" s="104"/>
      <c r="DQ34" s="104"/>
      <c r="DR34" s="122"/>
      <c r="DT34" s="143"/>
      <c r="DU34" s="143"/>
      <c r="DV34" s="143"/>
      <c r="DW34" s="143"/>
      <c r="DX34" s="143"/>
      <c r="DY34" s="143"/>
      <c r="DZ34" s="143"/>
      <c r="EA34" s="143"/>
      <c r="EB34" s="143"/>
    </row>
    <row r="35" spans="2:132" x14ac:dyDescent="0.25">
      <c r="B35" s="103" t="s">
        <v>149</v>
      </c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33" t="s">
        <v>116</v>
      </c>
      <c r="AN35" s="133"/>
      <c r="AO35" s="133"/>
      <c r="AP35" s="133"/>
      <c r="AQ35" s="133"/>
      <c r="AR35" s="133"/>
      <c r="AS35" s="133"/>
      <c r="AT35" s="133"/>
      <c r="AU35" s="133"/>
      <c r="AV35" s="133"/>
      <c r="AW35" s="133"/>
      <c r="AX35" s="133"/>
      <c r="AY35" s="134" t="s">
        <v>121</v>
      </c>
      <c r="AZ35" s="134"/>
      <c r="BA35" s="134"/>
      <c r="BB35" s="134"/>
      <c r="BC35" s="134"/>
      <c r="BD35" s="134"/>
      <c r="BE35" s="134"/>
      <c r="BF35" s="134"/>
      <c r="BG35" s="134"/>
      <c r="BH35" s="134"/>
      <c r="BI35" s="134"/>
      <c r="BJ35" s="134"/>
      <c r="BK35" s="134"/>
      <c r="BL35" s="134"/>
      <c r="BM35" s="134"/>
      <c r="BN35" s="134"/>
      <c r="BO35" s="134"/>
      <c r="BP35" s="134"/>
      <c r="BQ35" s="134"/>
      <c r="BR35" s="134"/>
      <c r="BS35" s="134"/>
      <c r="BT35" s="134"/>
      <c r="BU35" s="134"/>
      <c r="BV35" s="134"/>
      <c r="BW35" s="134"/>
      <c r="BX35" s="134"/>
      <c r="BY35" s="134"/>
      <c r="BZ35" s="134"/>
      <c r="CA35" s="134"/>
      <c r="CB35" s="134"/>
      <c r="CC35" s="134"/>
      <c r="CD35" s="134"/>
      <c r="CE35" s="134"/>
      <c r="CF35" s="134"/>
      <c r="CG35" s="134"/>
      <c r="CH35" s="134"/>
      <c r="CI35" s="134"/>
      <c r="CJ35" s="134"/>
      <c r="CK35" s="134"/>
      <c r="CL35" s="134"/>
      <c r="CM35" s="134"/>
      <c r="CN35" s="134"/>
      <c r="CO35" s="134"/>
      <c r="CP35" s="134"/>
      <c r="CQ35" s="134"/>
      <c r="CR35" s="134"/>
      <c r="CS35" s="134"/>
      <c r="CT35" s="134"/>
      <c r="CU35" s="135" t="s">
        <v>122</v>
      </c>
      <c r="CV35" s="135"/>
      <c r="CW35" s="135"/>
      <c r="CX35" s="135"/>
      <c r="CY35" s="135"/>
      <c r="CZ35" s="135"/>
      <c r="DA35" s="135"/>
      <c r="DB35" s="135"/>
      <c r="DC35" s="135"/>
      <c r="DD35" s="135"/>
      <c r="DE35" s="135"/>
      <c r="DF35" s="135"/>
      <c r="DG35" s="104"/>
      <c r="DH35" s="104"/>
      <c r="DI35" s="104"/>
      <c r="DJ35" s="104"/>
      <c r="DK35" s="104"/>
      <c r="DL35" s="104"/>
      <c r="DM35" s="104"/>
      <c r="DN35" s="104"/>
      <c r="DO35" s="104"/>
      <c r="DP35" s="104"/>
      <c r="DQ35" s="104"/>
      <c r="DR35" s="122"/>
      <c r="DT35" s="143"/>
      <c r="DU35" s="143"/>
      <c r="DV35" s="143"/>
      <c r="DW35" s="143"/>
      <c r="DX35" s="143"/>
      <c r="DY35" s="143"/>
      <c r="DZ35" s="143"/>
      <c r="EA35" s="143"/>
      <c r="EB35" s="143"/>
    </row>
    <row r="36" spans="2:132" x14ac:dyDescent="0.25">
      <c r="B36" s="103" t="s">
        <v>150</v>
      </c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33" t="s">
        <v>116</v>
      </c>
      <c r="AB36" s="133"/>
      <c r="AC36" s="133"/>
      <c r="AD36" s="133"/>
      <c r="AE36" s="133"/>
      <c r="AF36" s="133"/>
      <c r="AG36" s="133"/>
      <c r="AH36" s="133"/>
      <c r="AI36" s="133"/>
      <c r="AJ36" s="133"/>
      <c r="AK36" s="133"/>
      <c r="AL36" s="133"/>
      <c r="AM36" s="134" t="s">
        <v>121</v>
      </c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  <c r="BI36" s="134"/>
      <c r="BJ36" s="134"/>
      <c r="BK36" s="134"/>
      <c r="BL36" s="134"/>
      <c r="BM36" s="134"/>
      <c r="BN36" s="134"/>
      <c r="BO36" s="134"/>
      <c r="BP36" s="134"/>
      <c r="BQ36" s="134"/>
      <c r="BR36" s="134"/>
      <c r="BS36" s="134"/>
      <c r="BT36" s="134"/>
      <c r="BU36" s="134"/>
      <c r="BV36" s="134"/>
      <c r="BW36" s="134"/>
      <c r="BX36" s="134"/>
      <c r="BY36" s="134"/>
      <c r="BZ36" s="134"/>
      <c r="CA36" s="134"/>
      <c r="CB36" s="134"/>
      <c r="CC36" s="134"/>
      <c r="CD36" s="134"/>
      <c r="CE36" s="134"/>
      <c r="CF36" s="134"/>
      <c r="CG36" s="134"/>
      <c r="CH36" s="134"/>
      <c r="CI36" s="135" t="s">
        <v>122</v>
      </c>
      <c r="CJ36" s="135"/>
      <c r="CK36" s="135"/>
      <c r="CL36" s="135"/>
      <c r="CM36" s="135"/>
      <c r="CN36" s="135"/>
      <c r="CO36" s="135"/>
      <c r="CP36" s="135"/>
      <c r="CQ36" s="135"/>
      <c r="CR36" s="135"/>
      <c r="CS36" s="135"/>
      <c r="CT36" s="135"/>
      <c r="CU36" s="104"/>
      <c r="CV36" s="104"/>
      <c r="CW36" s="104"/>
      <c r="CX36" s="104"/>
      <c r="CY36" s="104"/>
      <c r="CZ36" s="104"/>
      <c r="DA36" s="104"/>
      <c r="DB36" s="104"/>
      <c r="DC36" s="104"/>
      <c r="DD36" s="104"/>
      <c r="DE36" s="104"/>
      <c r="DF36" s="104"/>
      <c r="DG36" s="104"/>
      <c r="DH36" s="104"/>
      <c r="DI36" s="104"/>
      <c r="DJ36" s="104"/>
      <c r="DK36" s="104"/>
      <c r="DL36" s="104"/>
      <c r="DM36" s="104"/>
      <c r="DN36" s="104"/>
      <c r="DO36" s="104"/>
      <c r="DP36" s="104"/>
      <c r="DQ36" s="104"/>
      <c r="DR36" s="122"/>
      <c r="DT36" s="143"/>
      <c r="DU36" s="143"/>
      <c r="DV36" s="143"/>
      <c r="DW36" s="143"/>
      <c r="DX36" s="143"/>
      <c r="DY36" s="143"/>
      <c r="DZ36" s="143"/>
      <c r="EA36" s="143"/>
      <c r="EB36" s="143"/>
    </row>
    <row r="37" spans="2:132" x14ac:dyDescent="0.25">
      <c r="B37" s="103" t="s">
        <v>151</v>
      </c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4"/>
      <c r="N37" s="104"/>
      <c r="O37" s="133" t="s">
        <v>116</v>
      </c>
      <c r="P37" s="133"/>
      <c r="Q37" s="133"/>
      <c r="R37" s="133"/>
      <c r="S37" s="133"/>
      <c r="T37" s="133"/>
      <c r="U37" s="133"/>
      <c r="V37" s="133"/>
      <c r="W37" s="133"/>
      <c r="X37" s="133"/>
      <c r="Y37" s="133"/>
      <c r="Z37" s="133"/>
      <c r="AA37" s="134" t="s">
        <v>121</v>
      </c>
      <c r="AB37" s="134"/>
      <c r="AC37" s="134"/>
      <c r="AD37" s="134"/>
      <c r="AE37" s="134"/>
      <c r="AF37" s="134"/>
      <c r="AG37" s="134"/>
      <c r="AH37" s="134"/>
      <c r="AI37" s="134"/>
      <c r="AJ37" s="134"/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  <c r="BI37" s="134"/>
      <c r="BJ37" s="134"/>
      <c r="BK37" s="134"/>
      <c r="BL37" s="134"/>
      <c r="BM37" s="134"/>
      <c r="BN37" s="134"/>
      <c r="BO37" s="134"/>
      <c r="BP37" s="134"/>
      <c r="BQ37" s="134"/>
      <c r="BR37" s="134"/>
      <c r="BS37" s="134"/>
      <c r="BT37" s="134"/>
      <c r="BU37" s="134"/>
      <c r="BV37" s="134"/>
      <c r="BW37" s="135" t="s">
        <v>122</v>
      </c>
      <c r="BX37" s="135"/>
      <c r="BY37" s="135"/>
      <c r="BZ37" s="135"/>
      <c r="CA37" s="135"/>
      <c r="CB37" s="135"/>
      <c r="CC37" s="135"/>
      <c r="CD37" s="135"/>
      <c r="CE37" s="135"/>
      <c r="CF37" s="135"/>
      <c r="CG37" s="135"/>
      <c r="CH37" s="135"/>
      <c r="CI37" s="104"/>
      <c r="CJ37" s="104"/>
      <c r="CK37" s="104"/>
      <c r="CL37" s="104"/>
      <c r="CM37" s="104"/>
      <c r="CN37" s="104"/>
      <c r="CO37" s="104"/>
      <c r="CP37" s="104"/>
      <c r="CQ37" s="104"/>
      <c r="CR37" s="104"/>
      <c r="CS37" s="104"/>
      <c r="CT37" s="104"/>
      <c r="CU37" s="104"/>
      <c r="CV37" s="104"/>
      <c r="CW37" s="104"/>
      <c r="CX37" s="104"/>
      <c r="CY37" s="104"/>
      <c r="CZ37" s="104"/>
      <c r="DA37" s="104"/>
      <c r="DB37" s="104"/>
      <c r="DC37" s="104"/>
      <c r="DD37" s="104"/>
      <c r="DE37" s="104"/>
      <c r="DF37" s="104"/>
      <c r="DG37" s="104"/>
      <c r="DH37" s="104"/>
      <c r="DI37" s="104"/>
      <c r="DJ37" s="104"/>
      <c r="DK37" s="104"/>
      <c r="DL37" s="104"/>
      <c r="DM37" s="104"/>
      <c r="DN37" s="104"/>
      <c r="DO37" s="104"/>
      <c r="DP37" s="104"/>
      <c r="DQ37" s="104"/>
      <c r="DR37" s="122"/>
      <c r="DT37" s="143"/>
      <c r="DU37" s="143"/>
      <c r="DV37" s="143"/>
      <c r="DW37" s="143"/>
      <c r="DX37" s="143"/>
      <c r="DY37" s="143"/>
      <c r="DZ37" s="143"/>
      <c r="EA37" s="143"/>
      <c r="EB37" s="143"/>
    </row>
    <row r="38" spans="2:132" ht="15.75" thickBot="1" x14ac:dyDescent="0.3">
      <c r="B38" s="85" t="s">
        <v>152</v>
      </c>
      <c r="C38" s="126" t="s">
        <v>116</v>
      </c>
      <c r="D38" s="126"/>
      <c r="E38" s="126"/>
      <c r="F38" s="126"/>
      <c r="G38" s="126"/>
      <c r="H38" s="126"/>
      <c r="I38" s="126"/>
      <c r="J38" s="126"/>
      <c r="K38" s="126"/>
      <c r="L38" s="126"/>
      <c r="M38" s="126"/>
      <c r="N38" s="126"/>
      <c r="O38" s="127" t="s">
        <v>121</v>
      </c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7"/>
      <c r="AL38" s="127"/>
      <c r="AM38" s="127"/>
      <c r="AN38" s="127"/>
      <c r="AO38" s="127"/>
      <c r="AP38" s="127"/>
      <c r="AQ38" s="127"/>
      <c r="AR38" s="127"/>
      <c r="AS38" s="127"/>
      <c r="AT38" s="127"/>
      <c r="AU38" s="127"/>
      <c r="AV38" s="127"/>
      <c r="AW38" s="127"/>
      <c r="AX38" s="127"/>
      <c r="AY38" s="127"/>
      <c r="AZ38" s="127"/>
      <c r="BA38" s="127"/>
      <c r="BB38" s="127"/>
      <c r="BC38" s="127"/>
      <c r="BD38" s="127"/>
      <c r="BE38" s="127"/>
      <c r="BF38" s="127"/>
      <c r="BG38" s="127"/>
      <c r="BH38" s="127"/>
      <c r="BI38" s="127"/>
      <c r="BJ38" s="127"/>
      <c r="BK38" s="128" t="s">
        <v>122</v>
      </c>
      <c r="BL38" s="128"/>
      <c r="BM38" s="128"/>
      <c r="BN38" s="128"/>
      <c r="BO38" s="128"/>
      <c r="BP38" s="128"/>
      <c r="BQ38" s="128"/>
      <c r="BR38" s="128"/>
      <c r="BS38" s="128"/>
      <c r="BT38" s="128"/>
      <c r="BU38" s="128"/>
      <c r="BV38" s="128"/>
      <c r="BW38" s="86"/>
      <c r="BX38" s="86"/>
      <c r="BY38" s="86"/>
      <c r="BZ38" s="86"/>
      <c r="CA38" s="86"/>
      <c r="CB38" s="86"/>
      <c r="CC38" s="86"/>
      <c r="CD38" s="86"/>
      <c r="CE38" s="86"/>
      <c r="CF38" s="86"/>
      <c r="CG38" s="86"/>
      <c r="CH38" s="86"/>
      <c r="CI38" s="86"/>
      <c r="CJ38" s="86"/>
      <c r="CK38" s="86"/>
      <c r="CL38" s="86"/>
      <c r="CM38" s="86"/>
      <c r="CN38" s="86"/>
      <c r="CO38" s="86"/>
      <c r="CP38" s="86"/>
      <c r="CQ38" s="86"/>
      <c r="CR38" s="86"/>
      <c r="CS38" s="86"/>
      <c r="CT38" s="86"/>
      <c r="CU38" s="86"/>
      <c r="CV38" s="86"/>
      <c r="CW38" s="86"/>
      <c r="CX38" s="86"/>
      <c r="CY38" s="86"/>
      <c r="CZ38" s="86"/>
      <c r="DA38" s="86"/>
      <c r="DB38" s="86"/>
      <c r="DC38" s="86"/>
      <c r="DD38" s="86"/>
      <c r="DE38" s="86"/>
      <c r="DF38" s="86"/>
      <c r="DG38" s="86"/>
      <c r="DH38" s="86"/>
      <c r="DI38" s="86"/>
      <c r="DJ38" s="86"/>
      <c r="DK38" s="86"/>
      <c r="DL38" s="86"/>
      <c r="DM38" s="86"/>
      <c r="DN38" s="86"/>
      <c r="DO38" s="86"/>
      <c r="DP38" s="86"/>
      <c r="DQ38" s="86"/>
      <c r="DR38" s="96"/>
      <c r="DT38" s="143"/>
      <c r="DU38" s="143"/>
      <c r="DV38" s="143"/>
      <c r="DW38" s="143"/>
      <c r="DX38" s="143"/>
      <c r="DY38" s="143"/>
      <c r="DZ38" s="143"/>
      <c r="EA38" s="143"/>
      <c r="EB38" s="143"/>
    </row>
    <row r="39" spans="2:132" s="143" customFormat="1" x14ac:dyDescent="0.25"/>
    <row r="40" spans="2:132" s="143" customFormat="1" x14ac:dyDescent="0.25"/>
    <row r="41" spans="2:132" s="143" customFormat="1" x14ac:dyDescent="0.25"/>
    <row r="42" spans="2:132" s="143" customFormat="1" x14ac:dyDescent="0.25"/>
    <row r="43" spans="2:132" s="143" customFormat="1" x14ac:dyDescent="0.25"/>
    <row r="44" spans="2:132" s="143" customFormat="1" x14ac:dyDescent="0.25"/>
    <row r="45" spans="2:132" s="143" customFormat="1" x14ac:dyDescent="0.25"/>
    <row r="46" spans="2:132" s="143" customFormat="1" x14ac:dyDescent="0.25"/>
    <row r="47" spans="2:132" s="143" customFormat="1" x14ac:dyDescent="0.25"/>
    <row r="48" spans="2:132" s="143" customFormat="1" x14ac:dyDescent="0.25"/>
    <row r="49" s="143" customFormat="1" x14ac:dyDescent="0.25"/>
    <row r="50" s="143" customFormat="1" x14ac:dyDescent="0.25"/>
    <row r="51" s="143" customFormat="1" x14ac:dyDescent="0.25"/>
    <row r="52" s="143" customFormat="1" x14ac:dyDescent="0.25"/>
    <row r="53" s="143" customFormat="1" x14ac:dyDescent="0.25"/>
    <row r="54" s="143" customFormat="1" x14ac:dyDescent="0.25"/>
    <row r="55" s="143" customFormat="1" x14ac:dyDescent="0.25"/>
  </sheetData>
  <mergeCells count="37">
    <mergeCell ref="C13:N13"/>
    <mergeCell ref="O13:Z13"/>
    <mergeCell ref="AA13:AL13"/>
    <mergeCell ref="AM13:AX13"/>
    <mergeCell ref="AY13:BJ13"/>
    <mergeCell ref="BK18:BV18"/>
    <mergeCell ref="BW6:CH6"/>
    <mergeCell ref="CI6:CT6"/>
    <mergeCell ref="CU6:DF6"/>
    <mergeCell ref="DG6:DR6"/>
    <mergeCell ref="BK13:BV13"/>
    <mergeCell ref="BK6:BV6"/>
    <mergeCell ref="BW18:CH18"/>
    <mergeCell ref="CI18:CT18"/>
    <mergeCell ref="CU18:DF18"/>
    <mergeCell ref="DG18:DR18"/>
    <mergeCell ref="BW13:CH13"/>
    <mergeCell ref="CI13:CT13"/>
    <mergeCell ref="CU13:DF13"/>
    <mergeCell ref="DG13:DR13"/>
    <mergeCell ref="C18:N18"/>
    <mergeCell ref="O18:Z18"/>
    <mergeCell ref="AA18:AL18"/>
    <mergeCell ref="AM18:AX18"/>
    <mergeCell ref="AY18:BJ18"/>
    <mergeCell ref="DT4:EB4"/>
    <mergeCell ref="B4:DR4"/>
    <mergeCell ref="EB7:EB8"/>
    <mergeCell ref="DZ6:EB6"/>
    <mergeCell ref="C6:N6"/>
    <mergeCell ref="O6:Z6"/>
    <mergeCell ref="AA6:AL6"/>
    <mergeCell ref="AM6:AX6"/>
    <mergeCell ref="AY6:BJ6"/>
    <mergeCell ref="DV6:DW8"/>
    <mergeCell ref="DX6:DY8"/>
    <mergeCell ref="DZ7:EA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2016-2018 - Méth. directe</vt:lpstr>
      <vt:lpstr>2002-2023 - Méth. extrapolation</vt:lpstr>
      <vt:lpstr>2014-2020 - Histo naiss</vt:lpstr>
      <vt:lpstr>Test du chi²</vt:lpstr>
      <vt:lpstr>Comparaison des méthodes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2024-09-10T16:55:13Z</dcterms:modified>
</cp:coreProperties>
</file>